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8175"/>
  </bookViews>
  <sheets>
    <sheet name="Details of Measurement" sheetId="1" r:id="rId1"/>
    <sheet name="Builder's Estimate" sheetId="2" r:id="rId2"/>
    <sheet name="Abstract of Cost" sheetId="3" r:id="rId3"/>
    <sheet name="Bill of Quantity" sheetId="4" r:id="rId4"/>
    <sheet name="Summary" sheetId="5" r:id="rId5"/>
  </sheets>
  <calcPr calcId="125725"/>
</workbook>
</file>

<file path=xl/calcChain.xml><?xml version="1.0" encoding="utf-8"?>
<calcChain xmlns="http://schemas.openxmlformats.org/spreadsheetml/2006/main">
  <c r="E45" i="4"/>
  <c r="L28" i="2"/>
  <c r="F38" i="4"/>
  <c r="B38"/>
  <c r="F57"/>
  <c r="F58"/>
  <c r="F59"/>
  <c r="F60"/>
  <c r="F61"/>
  <c r="F6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9"/>
  <c r="F40"/>
  <c r="F41"/>
  <c r="F42"/>
  <c r="F43"/>
  <c r="F44"/>
  <c r="F46"/>
  <c r="F47"/>
  <c r="F48"/>
  <c r="F49"/>
  <c r="F50"/>
  <c r="F51"/>
  <c r="F52"/>
  <c r="F53"/>
  <c r="E53"/>
  <c r="E52"/>
  <c r="E51"/>
  <c r="E50"/>
  <c r="E49"/>
  <c r="E48"/>
  <c r="E47"/>
  <c r="E46"/>
  <c r="E44"/>
  <c r="E43"/>
  <c r="E42"/>
  <c r="E41"/>
  <c r="G41" s="1"/>
  <c r="E40"/>
  <c r="E39"/>
  <c r="E37"/>
  <c r="E34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C53"/>
  <c r="C12"/>
  <c r="F21" i="3"/>
  <c r="F19"/>
  <c r="D19"/>
  <c r="G44" i="2"/>
  <c r="G55"/>
  <c r="G155"/>
  <c r="G211"/>
  <c r="G12" i="4" l="1"/>
  <c r="G53"/>
  <c r="F172" i="2" l="1"/>
  <c r="F173"/>
  <c r="F174"/>
  <c r="F175"/>
  <c r="F176"/>
  <c r="F177"/>
  <c r="F178"/>
  <c r="F157"/>
  <c r="F110"/>
  <c r="F111"/>
  <c r="F115"/>
  <c r="F116"/>
  <c r="F117"/>
  <c r="F118"/>
  <c r="F204"/>
  <c r="F205"/>
  <c r="F206"/>
  <c r="F207"/>
  <c r="F122"/>
  <c r="F123"/>
  <c r="F124"/>
  <c r="F192"/>
  <c r="F190"/>
  <c r="F191"/>
  <c r="F189"/>
  <c r="F182"/>
  <c r="F183"/>
  <c r="F184"/>
  <c r="F185"/>
  <c r="F196"/>
  <c r="F197"/>
  <c r="F198"/>
  <c r="F199"/>
  <c r="F200"/>
  <c r="C197"/>
  <c r="F211"/>
  <c r="F134"/>
  <c r="F135"/>
  <c r="F136"/>
  <c r="F137"/>
  <c r="F138"/>
  <c r="F139"/>
  <c r="F140"/>
  <c r="H57" i="1"/>
  <c r="H56"/>
  <c r="H55"/>
  <c r="D209" i="2"/>
  <c r="C35" i="3" s="1"/>
  <c r="F35" s="1"/>
  <c r="A209" i="2"/>
  <c r="B209"/>
  <c r="D35" i="3" s="1"/>
  <c r="D202" i="2"/>
  <c r="C34" i="3" s="1"/>
  <c r="F34" s="1"/>
  <c r="A202" i="2"/>
  <c r="B202"/>
  <c r="D34" i="3" s="1"/>
  <c r="D194" i="2"/>
  <c r="C33" i="3" s="1"/>
  <c r="F33" s="1"/>
  <c r="A194" i="2"/>
  <c r="B194"/>
  <c r="D33" i="3" s="1"/>
  <c r="D187" i="2"/>
  <c r="C32" i="3" s="1"/>
  <c r="F32" s="1"/>
  <c r="A187" i="2"/>
  <c r="B187"/>
  <c r="D32" i="3" s="1"/>
  <c r="D180" i="2"/>
  <c r="C31" i="3" s="1"/>
  <c r="F31" s="1"/>
  <c r="A180" i="2"/>
  <c r="B180"/>
  <c r="D31" i="3" s="1"/>
  <c r="D170" i="2"/>
  <c r="C30" i="3" s="1"/>
  <c r="F30" s="1"/>
  <c r="A170" i="2"/>
  <c r="B170"/>
  <c r="D30" i="3" s="1"/>
  <c r="F166" i="2"/>
  <c r="F167"/>
  <c r="F168"/>
  <c r="D164"/>
  <c r="C29" i="3" s="1"/>
  <c r="F29" s="1"/>
  <c r="A164" i="2"/>
  <c r="B164"/>
  <c r="D29" i="3" s="1"/>
  <c r="F162" i="2"/>
  <c r="D160"/>
  <c r="C28" i="3" s="1"/>
  <c r="F28" s="1"/>
  <c r="A160" i="2"/>
  <c r="B160"/>
  <c r="D28" i="3" s="1"/>
  <c r="F152" i="2"/>
  <c r="F153"/>
  <c r="F154"/>
  <c r="F155"/>
  <c r="F156"/>
  <c r="F158"/>
  <c r="C154"/>
  <c r="C156"/>
  <c r="C153"/>
  <c r="D150"/>
  <c r="C27" i="3" s="1"/>
  <c r="F27" s="1"/>
  <c r="A150" i="2"/>
  <c r="B150"/>
  <c r="D27" i="3" s="1"/>
  <c r="F144" i="2"/>
  <c r="F145"/>
  <c r="F146"/>
  <c r="F147"/>
  <c r="F148"/>
  <c r="C146"/>
  <c r="D142"/>
  <c r="C26" i="3" s="1"/>
  <c r="F26" s="1"/>
  <c r="A142" i="2"/>
  <c r="B142"/>
  <c r="D26" i="3" s="1"/>
  <c r="D132" i="2"/>
  <c r="C25" i="3" s="1"/>
  <c r="F25" s="1"/>
  <c r="A132" i="2"/>
  <c r="B132"/>
  <c r="D25" i="3" s="1"/>
  <c r="F128" i="2"/>
  <c r="F129"/>
  <c r="F130"/>
  <c r="D126"/>
  <c r="C24" i="3" s="1"/>
  <c r="F24" s="1"/>
  <c r="A120" i="2"/>
  <c r="B120"/>
  <c r="D23" i="3" s="1"/>
  <c r="A126" i="2"/>
  <c r="B126"/>
  <c r="D24" i="3" s="1"/>
  <c r="D120" i="2"/>
  <c r="C23" i="3" s="1"/>
  <c r="F23" s="1"/>
  <c r="D113" i="2"/>
  <c r="C22" i="3" s="1"/>
  <c r="F22" s="1"/>
  <c r="A113" i="2"/>
  <c r="B113"/>
  <c r="D22" i="3" s="1"/>
  <c r="D104" i="2"/>
  <c r="D108"/>
  <c r="F108" s="1"/>
  <c r="D109"/>
  <c r="F109" s="1"/>
  <c r="D107"/>
  <c r="F107" s="1"/>
  <c r="D106"/>
  <c r="F106" s="1"/>
  <c r="A104"/>
  <c r="B104"/>
  <c r="D21" i="3" s="1"/>
  <c r="F98" i="2"/>
  <c r="F99"/>
  <c r="F100"/>
  <c r="F101"/>
  <c r="F102"/>
  <c r="F88"/>
  <c r="F89"/>
  <c r="F90"/>
  <c r="F91"/>
  <c r="F92"/>
  <c r="F93"/>
  <c r="F94"/>
  <c r="D96"/>
  <c r="C20" i="3" s="1"/>
  <c r="F20" s="1"/>
  <c r="D86" i="2"/>
  <c r="F80"/>
  <c r="F81"/>
  <c r="F82"/>
  <c r="F83"/>
  <c r="F84"/>
  <c r="F72"/>
  <c r="F73"/>
  <c r="F74"/>
  <c r="F75"/>
  <c r="F76"/>
  <c r="F64"/>
  <c r="F65"/>
  <c r="F66"/>
  <c r="F67"/>
  <c r="F68"/>
  <c r="F59"/>
  <c r="F60"/>
  <c r="F55"/>
  <c r="F48"/>
  <c r="F49"/>
  <c r="F50"/>
  <c r="F51"/>
  <c r="F38"/>
  <c r="F39"/>
  <c r="F40"/>
  <c r="F41"/>
  <c r="F42"/>
  <c r="F43"/>
  <c r="F44"/>
  <c r="D62"/>
  <c r="C15" i="3" s="1"/>
  <c r="F15" s="1"/>
  <c r="A62" i="2"/>
  <c r="B62"/>
  <c r="D15" i="3" s="1"/>
  <c r="D46" i="2"/>
  <c r="C12" i="3" s="1"/>
  <c r="F12" s="1"/>
  <c r="A46" i="2"/>
  <c r="B46"/>
  <c r="D36"/>
  <c r="C11" i="3" s="1"/>
  <c r="F11" s="1"/>
  <c r="A36" i="2"/>
  <c r="B36"/>
  <c r="F34"/>
  <c r="F33"/>
  <c r="F32"/>
  <c r="F31"/>
  <c r="F30"/>
  <c r="D28"/>
  <c r="C10" i="3" s="1"/>
  <c r="F10" s="1"/>
  <c r="A28" i="2"/>
  <c r="B28"/>
  <c r="F26"/>
  <c r="F25"/>
  <c r="F24"/>
  <c r="F23"/>
  <c r="F22"/>
  <c r="D20"/>
  <c r="C9" i="3" s="1"/>
  <c r="F9" s="1"/>
  <c r="A20" i="2"/>
  <c r="B20"/>
  <c r="F18"/>
  <c r="F17"/>
  <c r="F16"/>
  <c r="D14"/>
  <c r="C8" i="3" s="1"/>
  <c r="F8" s="1"/>
  <c r="A14" i="2"/>
  <c r="B14"/>
  <c r="F12"/>
  <c r="D10"/>
  <c r="C7" i="3" s="1"/>
  <c r="F7" s="1"/>
  <c r="A10" i="2"/>
  <c r="B10"/>
  <c r="F8"/>
  <c r="D6"/>
  <c r="C6" i="3" s="1"/>
  <c r="F6" s="1"/>
  <c r="A6" i="2"/>
  <c r="B6"/>
  <c r="I180" i="1"/>
  <c r="I182"/>
  <c r="I178"/>
  <c r="I176"/>
  <c r="I102"/>
  <c r="E293"/>
  <c r="E286"/>
  <c r="G271"/>
  <c r="E265"/>
  <c r="I265" s="1"/>
  <c r="K265" s="1"/>
  <c r="E262"/>
  <c r="E261"/>
  <c r="I261" s="1"/>
  <c r="I247"/>
  <c r="K247" s="1"/>
  <c r="C113" i="2" s="1"/>
  <c r="I244" i="1"/>
  <c r="I241"/>
  <c r="I236"/>
  <c r="I237"/>
  <c r="I230"/>
  <c r="I231"/>
  <c r="I232"/>
  <c r="I233"/>
  <c r="I234"/>
  <c r="I235"/>
  <c r="I223"/>
  <c r="I224"/>
  <c r="I225"/>
  <c r="I226"/>
  <c r="I227"/>
  <c r="I228"/>
  <c r="I229"/>
  <c r="I221"/>
  <c r="I220"/>
  <c r="I219"/>
  <c r="I218"/>
  <c r="I217"/>
  <c r="I216"/>
  <c r="I213"/>
  <c r="I214"/>
  <c r="I215"/>
  <c r="I212"/>
  <c r="I211"/>
  <c r="I210"/>
  <c r="I209"/>
  <c r="I208"/>
  <c r="I207"/>
  <c r="I205"/>
  <c r="I204"/>
  <c r="I203"/>
  <c r="I200"/>
  <c r="E173"/>
  <c r="E174" s="1"/>
  <c r="I243"/>
  <c r="I242"/>
  <c r="I239"/>
  <c r="I240"/>
  <c r="I167"/>
  <c r="H167"/>
  <c r="G167"/>
  <c r="F167"/>
  <c r="D164"/>
  <c r="D163"/>
  <c r="G163" s="1"/>
  <c r="D162"/>
  <c r="I162" s="1"/>
  <c r="G161"/>
  <c r="D152"/>
  <c r="D157"/>
  <c r="D159"/>
  <c r="D153"/>
  <c r="G153" s="1"/>
  <c r="D158"/>
  <c r="G158" s="1"/>
  <c r="D156"/>
  <c r="G156" s="1"/>
  <c r="D131"/>
  <c r="D119"/>
  <c r="D127"/>
  <c r="E110"/>
  <c r="D111" s="1"/>
  <c r="I295"/>
  <c r="K295" s="1"/>
  <c r="C209" i="2" s="1"/>
  <c r="I293" i="1"/>
  <c r="K293" s="1"/>
  <c r="C202" i="2" s="1"/>
  <c r="I290" i="1"/>
  <c r="I289"/>
  <c r="I286"/>
  <c r="K286" s="1"/>
  <c r="C187" i="2" s="1"/>
  <c r="F281" i="1"/>
  <c r="F282"/>
  <c r="E274"/>
  <c r="E271"/>
  <c r="I268"/>
  <c r="K268" s="1"/>
  <c r="E283" s="1"/>
  <c r="I283" s="1"/>
  <c r="I260"/>
  <c r="I262"/>
  <c r="E259"/>
  <c r="I259" s="1"/>
  <c r="I255"/>
  <c r="I254"/>
  <c r="I256"/>
  <c r="I250"/>
  <c r="I251"/>
  <c r="A96" i="2"/>
  <c r="B96"/>
  <c r="D20" i="3" s="1"/>
  <c r="I198" i="1"/>
  <c r="I196"/>
  <c r="I194"/>
  <c r="I192"/>
  <c r="I191"/>
  <c r="I189"/>
  <c r="I187"/>
  <c r="I186"/>
  <c r="I184"/>
  <c r="E177"/>
  <c r="I177" s="1"/>
  <c r="E175"/>
  <c r="I175" s="1"/>
  <c r="E172"/>
  <c r="I172" s="1"/>
  <c r="E282" l="1"/>
  <c r="C142" i="2"/>
  <c r="C150"/>
  <c r="B27" i="3" s="1"/>
  <c r="C144" i="2"/>
  <c r="G144" s="1"/>
  <c r="B26" i="3"/>
  <c r="B29"/>
  <c r="C49" i="4"/>
  <c r="G49" s="1"/>
  <c r="G197" i="2"/>
  <c r="C115"/>
  <c r="B22" i="3"/>
  <c r="L137" i="2"/>
  <c r="C45" i="4"/>
  <c r="G45" s="1"/>
  <c r="G146" i="2"/>
  <c r="C40" i="4"/>
  <c r="G40" s="1"/>
  <c r="G154" i="2"/>
  <c r="C190"/>
  <c r="B32" i="3"/>
  <c r="C189" i="2"/>
  <c r="C196"/>
  <c r="B33" i="3"/>
  <c r="C204" i="2"/>
  <c r="B34" i="3"/>
  <c r="E35"/>
  <c r="B35"/>
  <c r="G108" i="2"/>
  <c r="C22" i="4"/>
  <c r="G22" s="1"/>
  <c r="B23" i="3"/>
  <c r="C42" i="4"/>
  <c r="G42" s="1"/>
  <c r="G153" i="2"/>
  <c r="G107"/>
  <c r="C43" i="4"/>
  <c r="G43" s="1"/>
  <c r="G156" i="2"/>
  <c r="C166"/>
  <c r="C157"/>
  <c r="G157" s="1"/>
  <c r="C206"/>
  <c r="G206" s="1"/>
  <c r="C207"/>
  <c r="G207" s="1"/>
  <c r="C205"/>
  <c r="C192"/>
  <c r="G192" s="1"/>
  <c r="C118"/>
  <c r="G118" s="1"/>
  <c r="C117"/>
  <c r="G117" s="1"/>
  <c r="C116"/>
  <c r="C123"/>
  <c r="C191"/>
  <c r="G191" s="1"/>
  <c r="C198"/>
  <c r="C167"/>
  <c r="G167" s="1"/>
  <c r="C147"/>
  <c r="G147" s="1"/>
  <c r="C148"/>
  <c r="G148" s="1"/>
  <c r="C145"/>
  <c r="G145" s="1"/>
  <c r="K244" i="1"/>
  <c r="C109" i="2" s="1"/>
  <c r="C23" i="4" s="1"/>
  <c r="G23" s="1"/>
  <c r="K221" i="1"/>
  <c r="C107" i="2" s="1"/>
  <c r="C21" i="4" s="1"/>
  <c r="G21" s="1"/>
  <c r="K205" i="1"/>
  <c r="K237"/>
  <c r="C108" i="2" s="1"/>
  <c r="I282" i="1"/>
  <c r="I174"/>
  <c r="K290"/>
  <c r="C194" i="2" s="1"/>
  <c r="C199" s="1"/>
  <c r="I173" i="1"/>
  <c r="G151"/>
  <c r="G165" s="1"/>
  <c r="G168" s="1"/>
  <c r="C89" i="2" s="1"/>
  <c r="G89" s="1"/>
  <c r="I271" i="1"/>
  <c r="K271" s="1"/>
  <c r="C160" i="2" s="1"/>
  <c r="B28" i="3" s="1"/>
  <c r="I274" i="1"/>
  <c r="K274" s="1"/>
  <c r="C164" i="2" s="1"/>
  <c r="C168" s="1"/>
  <c r="G168" s="1"/>
  <c r="K262" i="1"/>
  <c r="K256"/>
  <c r="K251"/>
  <c r="C120" i="2" s="1"/>
  <c r="C122" s="1"/>
  <c r="E181" i="1"/>
  <c r="I181" s="1"/>
  <c r="E179"/>
  <c r="I179" s="1"/>
  <c r="E281" l="1"/>
  <c r="I281" s="1"/>
  <c r="K283" s="1"/>
  <c r="C180" i="2" s="1"/>
  <c r="C126"/>
  <c r="C104"/>
  <c r="C106"/>
  <c r="I278" i="1"/>
  <c r="C132" i="2"/>
  <c r="L87"/>
  <c r="C162"/>
  <c r="G162" s="1"/>
  <c r="E28" i="3" s="1"/>
  <c r="G28" s="1"/>
  <c r="G35"/>
  <c r="C158" i="2"/>
  <c r="G158" s="1"/>
  <c r="C200"/>
  <c r="G200" s="1"/>
  <c r="C25" i="4"/>
  <c r="G25" s="1"/>
  <c r="G109" i="2"/>
  <c r="C152"/>
  <c r="G152" s="1"/>
  <c r="C124"/>
  <c r="G124" s="1"/>
  <c r="G116"/>
  <c r="L115"/>
  <c r="G198"/>
  <c r="C50" i="4"/>
  <c r="G50" s="1"/>
  <c r="G166" i="2"/>
  <c r="E29" i="3" s="1"/>
  <c r="C32" i="4"/>
  <c r="G32" s="1"/>
  <c r="C46"/>
  <c r="G46" s="1"/>
  <c r="G189" i="2"/>
  <c r="L114"/>
  <c r="C29" i="4"/>
  <c r="G29" s="1"/>
  <c r="G115" i="2"/>
  <c r="E22" i="3" s="1"/>
  <c r="G22" s="1"/>
  <c r="E27"/>
  <c r="G27"/>
  <c r="C61" i="4"/>
  <c r="G61" s="1"/>
  <c r="G199" i="2"/>
  <c r="G190"/>
  <c r="C47" i="4"/>
  <c r="G47" s="1"/>
  <c r="C19"/>
  <c r="G19" s="1"/>
  <c r="G123" i="2"/>
  <c r="C51" i="4"/>
  <c r="G51" s="1"/>
  <c r="G204" i="2"/>
  <c r="C52" i="4"/>
  <c r="G52" s="1"/>
  <c r="G205" i="2"/>
  <c r="G122"/>
  <c r="E23" i="3" s="1"/>
  <c r="G23" s="1"/>
  <c r="L116" i="2"/>
  <c r="C30" i="4"/>
  <c r="G30" s="1"/>
  <c r="C48"/>
  <c r="G48" s="1"/>
  <c r="G196" i="2"/>
  <c r="E26" i="3"/>
  <c r="G26" s="1"/>
  <c r="G29"/>
  <c r="K200" i="1"/>
  <c r="C96" i="2" s="1"/>
  <c r="I164" i="1"/>
  <c r="I152"/>
  <c r="H131"/>
  <c r="D144"/>
  <c r="D140"/>
  <c r="F147"/>
  <c r="F146"/>
  <c r="F143"/>
  <c r="E142"/>
  <c r="F142" s="1"/>
  <c r="E139"/>
  <c r="F139" s="1"/>
  <c r="E138"/>
  <c r="E135"/>
  <c r="F135" s="1"/>
  <c r="E134"/>
  <c r="F134" s="1"/>
  <c r="F130"/>
  <c r="F129"/>
  <c r="F126"/>
  <c r="E122"/>
  <c r="F122" s="1"/>
  <c r="E118"/>
  <c r="F118" s="1"/>
  <c r="E125"/>
  <c r="E121"/>
  <c r="F121" s="1"/>
  <c r="E117"/>
  <c r="D114"/>
  <c r="D78" i="2"/>
  <c r="C18" i="3" s="1"/>
  <c r="F18" s="1"/>
  <c r="D70" i="2"/>
  <c r="C17" i="3" s="1"/>
  <c r="F17" s="1"/>
  <c r="A78" i="2"/>
  <c r="B78"/>
  <c r="D18" i="3" s="1"/>
  <c r="A70" i="2"/>
  <c r="B70"/>
  <c r="D17" i="3" s="1"/>
  <c r="D57" i="2"/>
  <c r="C14" i="3" s="1"/>
  <c r="F14" s="1"/>
  <c r="A57" i="2"/>
  <c r="B57"/>
  <c r="D14" i="3" s="1"/>
  <c r="C110" i="2" l="1"/>
  <c r="G110" s="1"/>
  <c r="C111"/>
  <c r="G111" s="1"/>
  <c r="C98"/>
  <c r="C99"/>
  <c r="B20" i="3"/>
  <c r="B31"/>
  <c r="C182" i="2"/>
  <c r="C183"/>
  <c r="G183" s="1"/>
  <c r="C185"/>
  <c r="G185" s="1"/>
  <c r="C184"/>
  <c r="G184" s="1"/>
  <c r="C134"/>
  <c r="C140"/>
  <c r="G140" s="1"/>
  <c r="C135"/>
  <c r="G135" s="1"/>
  <c r="C138"/>
  <c r="C136"/>
  <c r="G136" s="1"/>
  <c r="C137"/>
  <c r="C139"/>
  <c r="G139" s="1"/>
  <c r="B25" i="3"/>
  <c r="C129" i="2"/>
  <c r="G129" s="1"/>
  <c r="B24" i="3"/>
  <c r="C130" i="2"/>
  <c r="G130" s="1"/>
  <c r="C128"/>
  <c r="C31" i="4"/>
  <c r="G31" s="1"/>
  <c r="G106" i="2"/>
  <c r="E21" i="3" s="1"/>
  <c r="G21" s="1"/>
  <c r="C20" i="4"/>
  <c r="G20" s="1"/>
  <c r="E33" i="3"/>
  <c r="G33" s="1"/>
  <c r="E34"/>
  <c r="G34" s="1"/>
  <c r="E32"/>
  <c r="G32" s="1"/>
  <c r="C102" i="2"/>
  <c r="G102" s="1"/>
  <c r="C100"/>
  <c r="C101"/>
  <c r="I159" i="1"/>
  <c r="I157"/>
  <c r="D148"/>
  <c r="H148" s="1"/>
  <c r="D136"/>
  <c r="H136" s="1"/>
  <c r="D123"/>
  <c r="H123" s="1"/>
  <c r="D154"/>
  <c r="I154" s="1"/>
  <c r="H140"/>
  <c r="F138"/>
  <c r="H144"/>
  <c r="C55" i="2"/>
  <c r="D53"/>
  <c r="C13" i="3" s="1"/>
  <c r="F13" s="1"/>
  <c r="A53" i="2"/>
  <c r="B53"/>
  <c r="D13" i="3" s="1"/>
  <c r="I103" i="1"/>
  <c r="I101"/>
  <c r="I100"/>
  <c r="I99"/>
  <c r="I98"/>
  <c r="I97"/>
  <c r="I96"/>
  <c r="I95"/>
  <c r="I94"/>
  <c r="I93"/>
  <c r="I92"/>
  <c r="I91"/>
  <c r="I90"/>
  <c r="I87"/>
  <c r="I86"/>
  <c r="G134" i="2" l="1"/>
  <c r="C39" i="4"/>
  <c r="G39" s="1"/>
  <c r="L134" i="2"/>
  <c r="C34" i="4"/>
  <c r="G34" s="1"/>
  <c r="G182" i="2"/>
  <c r="E31" i="3" s="1"/>
  <c r="G98" i="2"/>
  <c r="C16" i="4"/>
  <c r="G16" s="1"/>
  <c r="L91" i="2"/>
  <c r="G137"/>
  <c r="C14" i="4"/>
  <c r="G14" s="1"/>
  <c r="L135" i="2"/>
  <c r="L92"/>
  <c r="C17" i="4"/>
  <c r="G17" s="1"/>
  <c r="G99" i="2"/>
  <c r="L117"/>
  <c r="G128"/>
  <c r="E24" i="3" s="1"/>
  <c r="G24" s="1"/>
  <c r="C15" i="4"/>
  <c r="G15" s="1"/>
  <c r="G138" i="2"/>
  <c r="L136"/>
  <c r="C44" i="4"/>
  <c r="G44" s="1"/>
  <c r="G31" i="3"/>
  <c r="L93" i="2"/>
  <c r="C18" i="4"/>
  <c r="G18" s="1"/>
  <c r="G100" i="2"/>
  <c r="C58" i="4"/>
  <c r="G58" s="1"/>
  <c r="G101" i="2"/>
  <c r="I165" i="1"/>
  <c r="I168" s="1"/>
  <c r="C91" i="2" s="1"/>
  <c r="K87" i="1"/>
  <c r="C70" i="2" s="1"/>
  <c r="K103" i="1"/>
  <c r="C78" i="2" s="1"/>
  <c r="I83" i="1"/>
  <c r="I82"/>
  <c r="I79"/>
  <c r="I78"/>
  <c r="I75"/>
  <c r="I74"/>
  <c r="I68"/>
  <c r="I71"/>
  <c r="I70"/>
  <c r="I69"/>
  <c r="I49"/>
  <c r="E67"/>
  <c r="E66"/>
  <c r="E64"/>
  <c r="H54"/>
  <c r="I42"/>
  <c r="C27" i="4" l="1"/>
  <c r="G27" s="1"/>
  <c r="L89" i="2"/>
  <c r="G91"/>
  <c r="E25" i="3"/>
  <c r="G25" s="1"/>
  <c r="C82" i="2"/>
  <c r="G82" s="1"/>
  <c r="B18" i="3"/>
  <c r="E20"/>
  <c r="G20" s="1"/>
  <c r="C73" i="2"/>
  <c r="G73" s="1"/>
  <c r="B17" i="3"/>
  <c r="K83" i="1"/>
  <c r="C76" i="2"/>
  <c r="G76" s="1"/>
  <c r="C74"/>
  <c r="G74" s="1"/>
  <c r="C75"/>
  <c r="G75" s="1"/>
  <c r="C72"/>
  <c r="G72" s="1"/>
  <c r="K79" i="1"/>
  <c r="C57" i="2" s="1"/>
  <c r="B14" i="3" s="1"/>
  <c r="C81" i="2"/>
  <c r="G81" s="1"/>
  <c r="C83"/>
  <c r="G83" s="1"/>
  <c r="C84"/>
  <c r="G84" s="1"/>
  <c r="K75" i="1"/>
  <c r="C53" i="2" s="1"/>
  <c r="C80"/>
  <c r="G80" s="1"/>
  <c r="E63" i="1"/>
  <c r="I63" s="1"/>
  <c r="C68" i="2" l="1"/>
  <c r="G68" s="1"/>
  <c r="C62"/>
  <c r="B15" i="3" s="1"/>
  <c r="G17"/>
  <c r="E17"/>
  <c r="E13"/>
  <c r="B13"/>
  <c r="E18"/>
  <c r="G18" s="1"/>
  <c r="C59" i="2"/>
  <c r="G59" s="1"/>
  <c r="C60"/>
  <c r="G60" s="1"/>
  <c r="C67"/>
  <c r="G67" s="1"/>
  <c r="C65"/>
  <c r="G65" s="1"/>
  <c r="C64"/>
  <c r="G64" s="1"/>
  <c r="C66"/>
  <c r="G66" s="1"/>
  <c r="F81" i="3"/>
  <c r="A87"/>
  <c r="D87"/>
  <c r="C87"/>
  <c r="F87" s="1"/>
  <c r="A86"/>
  <c r="D86"/>
  <c r="C86"/>
  <c r="F86" s="1"/>
  <c r="A85"/>
  <c r="D85"/>
  <c r="C85"/>
  <c r="F85" s="1"/>
  <c r="A84"/>
  <c r="D84"/>
  <c r="C84"/>
  <c r="F84" s="1"/>
  <c r="A83"/>
  <c r="D83"/>
  <c r="C83"/>
  <c r="F83" s="1"/>
  <c r="A82"/>
  <c r="D82"/>
  <c r="C82"/>
  <c r="F82" s="1"/>
  <c r="A81"/>
  <c r="D81"/>
  <c r="D12"/>
  <c r="D11"/>
  <c r="D10"/>
  <c r="D9"/>
  <c r="D8"/>
  <c r="D7"/>
  <c r="D6"/>
  <c r="G13" l="1"/>
  <c r="E15"/>
  <c r="G15" s="1"/>
  <c r="E14"/>
  <c r="G14" s="1"/>
  <c r="H58" i="1"/>
  <c r="H127"/>
  <c r="F125"/>
  <c r="H119"/>
  <c r="F117"/>
  <c r="H114"/>
  <c r="F113"/>
  <c r="H111"/>
  <c r="F110"/>
  <c r="F108"/>
  <c r="I67"/>
  <c r="I66"/>
  <c r="I65"/>
  <c r="I64"/>
  <c r="H53"/>
  <c r="H52"/>
  <c r="I48"/>
  <c r="I47"/>
  <c r="I46"/>
  <c r="I41"/>
  <c r="I40"/>
  <c r="I39"/>
  <c r="I37"/>
  <c r="I38"/>
  <c r="I36"/>
  <c r="I33"/>
  <c r="I32"/>
  <c r="I31"/>
  <c r="I28"/>
  <c r="I27"/>
  <c r="I26"/>
  <c r="I22"/>
  <c r="I21"/>
  <c r="I20"/>
  <c r="I17"/>
  <c r="I16"/>
  <c r="I15"/>
  <c r="I12"/>
  <c r="I11"/>
  <c r="I10"/>
  <c r="I7"/>
  <c r="K7" s="1"/>
  <c r="C6" i="2" s="1"/>
  <c r="B6" i="3" s="1"/>
  <c r="H165" i="1" l="1"/>
  <c r="H168" s="1"/>
  <c r="C90" i="2" s="1"/>
  <c r="I50" i="1"/>
  <c r="I57" s="1"/>
  <c r="K22"/>
  <c r="C20" i="2" s="1"/>
  <c r="B9" i="3" s="1"/>
  <c r="B82"/>
  <c r="B83"/>
  <c r="C8" i="2"/>
  <c r="B87" i="3"/>
  <c r="K17" i="1"/>
  <c r="H59"/>
  <c r="I58" s="1"/>
  <c r="K42"/>
  <c r="C28" i="2" s="1"/>
  <c r="B10" i="3" s="1"/>
  <c r="K12" i="1"/>
  <c r="C10" i="2" s="1"/>
  <c r="B7" i="3" s="1"/>
  <c r="F165" i="1"/>
  <c r="F168" s="1"/>
  <c r="G90" i="2" l="1"/>
  <c r="L88"/>
  <c r="C26" i="4"/>
  <c r="G26" s="1"/>
  <c r="G8" i="2"/>
  <c r="C88"/>
  <c r="K168" i="1"/>
  <c r="C86" i="2" s="1"/>
  <c r="K59" i="1"/>
  <c r="I59"/>
  <c r="B85" i="3"/>
  <c r="B84"/>
  <c r="B86"/>
  <c r="C24" i="2"/>
  <c r="G24" s="1"/>
  <c r="C23"/>
  <c r="C26"/>
  <c r="G26" s="1"/>
  <c r="C22"/>
  <c r="C25"/>
  <c r="C14"/>
  <c r="B8" i="3" s="1"/>
  <c r="C12" i="2"/>
  <c r="G12" s="1"/>
  <c r="E7" i="3" s="1"/>
  <c r="G7" s="1"/>
  <c r="G22" i="2" l="1"/>
  <c r="G25"/>
  <c r="L25"/>
  <c r="C9" i="4"/>
  <c r="G9" s="1"/>
  <c r="G23" i="2"/>
  <c r="G88"/>
  <c r="L86"/>
  <c r="C24" i="4"/>
  <c r="G24" s="1"/>
  <c r="E6" i="3"/>
  <c r="G6" s="1"/>
  <c r="C87" i="2"/>
  <c r="C36"/>
  <c r="C18"/>
  <c r="G18" s="1"/>
  <c r="C17"/>
  <c r="C16"/>
  <c r="E62" i="1"/>
  <c r="I62" s="1"/>
  <c r="C33" i="2"/>
  <c r="G33" s="1"/>
  <c r="C31"/>
  <c r="C32"/>
  <c r="G32" s="1"/>
  <c r="C34"/>
  <c r="G34" s="1"/>
  <c r="C30"/>
  <c r="G30" s="1"/>
  <c r="C43" l="1"/>
  <c r="B11" i="3"/>
  <c r="G31" i="2"/>
  <c r="E10" i="3" s="1"/>
  <c r="G10" s="1"/>
  <c r="C10" i="4"/>
  <c r="G10" s="1"/>
  <c r="G17" i="2"/>
  <c r="L24"/>
  <c r="C11" i="4"/>
  <c r="G11" s="1"/>
  <c r="G16" i="2"/>
  <c r="E9" i="3"/>
  <c r="G9" s="1"/>
  <c r="C92" i="2"/>
  <c r="C94"/>
  <c r="G94" s="1"/>
  <c r="C93"/>
  <c r="C41"/>
  <c r="G41" s="1"/>
  <c r="C39"/>
  <c r="G39" s="1"/>
  <c r="C40"/>
  <c r="G40" s="1"/>
  <c r="C42"/>
  <c r="G42" s="1"/>
  <c r="C38"/>
  <c r="K71" i="1"/>
  <c r="C46" i="2" s="1"/>
  <c r="G43" l="1"/>
  <c r="C13" i="4"/>
  <c r="G13" s="1"/>
  <c r="L27" i="2"/>
  <c r="G38"/>
  <c r="C60" i="4"/>
  <c r="G60" s="1"/>
  <c r="G93" i="2"/>
  <c r="C48"/>
  <c r="G48" s="1"/>
  <c r="B12" i="3"/>
  <c r="G92" i="2"/>
  <c r="E19" i="3" s="1"/>
  <c r="G19" s="1"/>
  <c r="L90" i="2"/>
  <c r="C28" i="4"/>
  <c r="G28" s="1"/>
  <c r="E8" i="3"/>
  <c r="G8" s="1"/>
  <c r="L26" i="2"/>
  <c r="C51"/>
  <c r="G51" s="1"/>
  <c r="I277" i="1"/>
  <c r="K278" s="1"/>
  <c r="C170" i="2" s="1"/>
  <c r="C7" i="4" l="1"/>
  <c r="G7" s="1"/>
  <c r="C177" i="2"/>
  <c r="B30" i="3"/>
  <c r="L22" i="2"/>
  <c r="E11" i="3"/>
  <c r="G11" s="1"/>
  <c r="C175" i="2"/>
  <c r="C176"/>
  <c r="C172"/>
  <c r="C178"/>
  <c r="G178" s="1"/>
  <c r="C173"/>
  <c r="C174"/>
  <c r="C50"/>
  <c r="C49"/>
  <c r="C62" i="4" l="1"/>
  <c r="G62" s="1"/>
  <c r="G49" i="2"/>
  <c r="C8" i="4"/>
  <c r="G8" s="1"/>
  <c r="L23" i="2"/>
  <c r="G173"/>
  <c r="C37" i="4"/>
  <c r="G37" s="1"/>
  <c r="C33"/>
  <c r="G33" s="1"/>
  <c r="G175" i="2"/>
  <c r="G55" i="4"/>
  <c r="C38"/>
  <c r="G38" s="1"/>
  <c r="G174" i="2"/>
  <c r="C36" i="4"/>
  <c r="G36" s="1"/>
  <c r="G176" i="2"/>
  <c r="G177"/>
  <c r="C59" i="4"/>
  <c r="G59" s="1"/>
  <c r="G50" i="2"/>
  <c r="C57" i="4"/>
  <c r="G57" s="1"/>
  <c r="G64" s="1"/>
  <c r="C7" i="5" s="1"/>
  <c r="C35" i="4"/>
  <c r="G35" s="1"/>
  <c r="G172" i="2"/>
  <c r="G66" i="4" l="1"/>
  <c r="C6" i="5"/>
  <c r="C12" s="1"/>
  <c r="G212" i="2"/>
  <c r="E12" i="3"/>
  <c r="G12" s="1"/>
  <c r="E30"/>
  <c r="G30" s="1"/>
  <c r="G37" s="1"/>
  <c r="C13" i="5" l="1"/>
  <c r="C16"/>
  <c r="C18" l="1"/>
  <c r="C17"/>
  <c r="C19" s="1"/>
</calcChain>
</file>

<file path=xl/sharedStrings.xml><?xml version="1.0" encoding="utf-8"?>
<sst xmlns="http://schemas.openxmlformats.org/spreadsheetml/2006/main" count="892" uniqueCount="358">
  <si>
    <t>No.</t>
  </si>
  <si>
    <t>Particular</t>
  </si>
  <si>
    <t>Measurement</t>
  </si>
  <si>
    <t>Deduction</t>
  </si>
  <si>
    <t>Totoal of Each</t>
  </si>
  <si>
    <t>Contents</t>
  </si>
  <si>
    <t>Item</t>
  </si>
  <si>
    <t>L</t>
  </si>
  <si>
    <t>B</t>
  </si>
  <si>
    <t>H</t>
  </si>
  <si>
    <t>Deductions</t>
  </si>
  <si>
    <t>Site Cleaning Work</t>
  </si>
  <si>
    <t>-</t>
  </si>
  <si>
    <t>Excavation for Foundation</t>
  </si>
  <si>
    <t>Post Footings</t>
  </si>
  <si>
    <t>Retaining Wall Line 1, 3 &amp; 4</t>
  </si>
  <si>
    <t>Hardcore Filling Work</t>
  </si>
  <si>
    <t>(1:3:6) Lean Concrete</t>
  </si>
  <si>
    <t>Retaining Wall Line 1 &amp; 3</t>
  </si>
  <si>
    <t>1st Step</t>
  </si>
  <si>
    <t>2nd Step</t>
  </si>
  <si>
    <t>Retaining Wall Line 4</t>
  </si>
  <si>
    <t>Stair</t>
  </si>
  <si>
    <t>4.5" Thk: Brick Wall in 1:3 Cement Mortor</t>
  </si>
  <si>
    <t>Wall Line 1 &amp; 3</t>
  </si>
  <si>
    <t>Varandah</t>
  </si>
  <si>
    <t>Window</t>
  </si>
  <si>
    <t>Door</t>
  </si>
  <si>
    <t>Windows</t>
  </si>
  <si>
    <t>Doors</t>
  </si>
  <si>
    <t>Wall</t>
  </si>
  <si>
    <t>Mild Steel Work</t>
  </si>
  <si>
    <t>Footing</t>
  </si>
  <si>
    <t>Column (9"x9") Main</t>
  </si>
  <si>
    <t>Column (9"x9") Varandah</t>
  </si>
  <si>
    <t xml:space="preserve"> </t>
  </si>
  <si>
    <t xml:space="preserve">Plinth Beam </t>
  </si>
  <si>
    <t>Roof Beam</t>
  </si>
  <si>
    <t>Sills &amp; Lintels (5"x3")</t>
  </si>
  <si>
    <t>Steel Structure Roofing Work</t>
  </si>
  <si>
    <t>Door (Double Leaf)</t>
  </si>
  <si>
    <t>UPVC Window</t>
  </si>
  <si>
    <t>Main</t>
  </si>
  <si>
    <t>Footing (3.5'x3.5'x9")</t>
  </si>
  <si>
    <t>Main Column (9"x9")</t>
  </si>
  <si>
    <t>Formwork</t>
  </si>
  <si>
    <t>External</t>
  </si>
  <si>
    <t>Gutter Work</t>
  </si>
  <si>
    <t>5"x5" PVC Gutter</t>
  </si>
  <si>
    <t>Apron &amp; Drain</t>
  </si>
  <si>
    <t>(a)</t>
  </si>
  <si>
    <t>(b)</t>
  </si>
  <si>
    <t>(c)</t>
  </si>
  <si>
    <t>(d)</t>
  </si>
  <si>
    <t>(e)</t>
  </si>
  <si>
    <t>(f)</t>
  </si>
  <si>
    <t>RFT</t>
  </si>
  <si>
    <t>Ton</t>
  </si>
  <si>
    <t>5"x2" U (MS) Tie Beam</t>
  </si>
  <si>
    <t>2"x2" Strut (L MS)</t>
  </si>
  <si>
    <t>3"x2" Purlin (GI)</t>
  </si>
  <si>
    <t>Front &amp; Back</t>
  </si>
  <si>
    <t>Sides</t>
  </si>
  <si>
    <t>Unit</t>
  </si>
  <si>
    <t>SFT</t>
  </si>
  <si>
    <t>CFT</t>
  </si>
  <si>
    <t>4 angle Colour Roofing Sheet (0.4mm thk:)</t>
  </si>
  <si>
    <t>Earth Filling Work</t>
  </si>
  <si>
    <t>Nos</t>
  </si>
  <si>
    <r>
      <rPr>
        <sz val="14"/>
        <color theme="1"/>
        <rFont val="Calibri"/>
        <family val="2"/>
        <scheme val="minor"/>
      </rPr>
      <t xml:space="preserve">ø </t>
    </r>
    <r>
      <rPr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>mm @ 6" C/C Both Way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</si>
  <si>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16mm x 6 Nos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</si>
  <si>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8mm Stirrup @ 6" C/C</t>
    </r>
  </si>
  <si>
    <r>
      <rPr>
        <b/>
        <sz val="11"/>
        <color theme="1"/>
        <rFont val="Calibri"/>
        <family val="2"/>
        <scheme val="minor"/>
      </rPr>
      <t>Btw: Line 1 &amp; 3</t>
    </r>
    <r>
      <rPr>
        <sz val="11"/>
        <color theme="1"/>
        <rFont val="Calibri"/>
        <family val="2"/>
        <scheme val="minor"/>
      </rPr>
      <t>, 1st Step</t>
    </r>
  </si>
  <si>
    <r>
      <rPr>
        <b/>
        <sz val="11"/>
        <color theme="1"/>
        <rFont val="Calibri"/>
        <family val="2"/>
        <scheme val="minor"/>
      </rPr>
      <t>Btw: Line 3 &amp; 4</t>
    </r>
    <r>
      <rPr>
        <sz val="11"/>
        <color theme="1"/>
        <rFont val="Calibri"/>
        <family val="2"/>
        <scheme val="minor"/>
      </rPr>
      <t>, 1st Step</t>
    </r>
  </si>
  <si>
    <r>
      <rPr>
        <b/>
        <sz val="14"/>
        <color theme="1"/>
        <rFont val="Calibri"/>
        <family val="2"/>
        <scheme val="minor"/>
      </rPr>
      <t>ø</t>
    </r>
    <r>
      <rPr>
        <b/>
        <sz val="11"/>
        <color theme="1"/>
        <rFont val="Calibri"/>
        <family val="2"/>
        <scheme val="minor"/>
      </rPr>
      <t xml:space="preserve"> 16mm</t>
    </r>
  </si>
  <si>
    <r>
      <rPr>
        <b/>
        <sz val="14"/>
        <color theme="1"/>
        <rFont val="Calibri"/>
        <family val="2"/>
        <scheme val="minor"/>
      </rPr>
      <t>ø</t>
    </r>
    <r>
      <rPr>
        <b/>
        <sz val="11"/>
        <color theme="1"/>
        <rFont val="Calibri"/>
        <family val="2"/>
        <scheme val="minor"/>
      </rPr>
      <t>12mm</t>
    </r>
  </si>
  <si>
    <r>
      <rPr>
        <b/>
        <sz val="14"/>
        <color theme="1"/>
        <rFont val="Calibri"/>
        <family val="2"/>
        <scheme val="minor"/>
      </rPr>
      <t>ø</t>
    </r>
    <r>
      <rPr>
        <b/>
        <sz val="11"/>
        <color theme="1"/>
        <rFont val="Calibri"/>
        <family val="2"/>
        <scheme val="minor"/>
      </rPr>
      <t xml:space="preserve"> 8mm</t>
    </r>
  </si>
  <si>
    <t>DETAILS OF MEASUREMENT</t>
  </si>
  <si>
    <t>Builder's Estimate</t>
  </si>
  <si>
    <t>Quantity</t>
  </si>
  <si>
    <t>Per</t>
  </si>
  <si>
    <t>Remark</t>
  </si>
  <si>
    <t>Labour</t>
  </si>
  <si>
    <t>Workers</t>
  </si>
  <si>
    <t>No</t>
  </si>
  <si>
    <t>Material &amp; Labour</t>
  </si>
  <si>
    <t>Sud</t>
  </si>
  <si>
    <t>Broken Brick</t>
  </si>
  <si>
    <t>Sand</t>
  </si>
  <si>
    <t>Cement</t>
  </si>
  <si>
    <t>Mason</t>
  </si>
  <si>
    <t>Bags</t>
  </si>
  <si>
    <t>River Shingle</t>
  </si>
  <si>
    <t>sud</t>
  </si>
  <si>
    <t>1st Class Bricks</t>
  </si>
  <si>
    <t>Brick Work 1st Class in 1:4 Cement Mortor</t>
  </si>
  <si>
    <t>X-met</t>
  </si>
  <si>
    <t>Binding Wire</t>
  </si>
  <si>
    <t>Viss</t>
  </si>
  <si>
    <t>Steel Fixer</t>
  </si>
  <si>
    <t>Teak</t>
  </si>
  <si>
    <t>Carpenter</t>
  </si>
  <si>
    <t>Lb</t>
  </si>
  <si>
    <t>Ready Mixed Paint</t>
  </si>
  <si>
    <t>Putty</t>
  </si>
  <si>
    <t>Painters</t>
  </si>
  <si>
    <t>8"x1" PKD</t>
  </si>
  <si>
    <t>Nail</t>
  </si>
  <si>
    <t>Worker</t>
  </si>
  <si>
    <t>Sheet</t>
  </si>
  <si>
    <t>Jungle Wood (3 times used)</t>
  </si>
  <si>
    <t>Bamboo</t>
  </si>
  <si>
    <t>MS Gutter Bracket</t>
  </si>
  <si>
    <t>2000 Gal Water Storage Tank (GI)</t>
  </si>
  <si>
    <t>Bag</t>
  </si>
  <si>
    <t>5"x2" U (MS)</t>
  </si>
  <si>
    <t>4"x2" U(MS)</t>
  </si>
  <si>
    <t>2"x2" L ( MS)</t>
  </si>
  <si>
    <t>3"x2" C (GI)</t>
  </si>
  <si>
    <t>6" Tower Bolt</t>
  </si>
  <si>
    <r>
      <rPr>
        <sz val="14"/>
        <rFont val="Calibri"/>
        <family val="2"/>
        <scheme val="minor"/>
      </rPr>
      <t>ø</t>
    </r>
    <r>
      <rPr>
        <sz val="11"/>
        <rFont val="Calibri"/>
        <family val="2"/>
        <scheme val="minor"/>
      </rPr>
      <t xml:space="preserve"> 16mm MS Rod</t>
    </r>
  </si>
  <si>
    <r>
      <rPr>
        <sz val="14"/>
        <rFont val="Calibri"/>
        <family val="2"/>
        <scheme val="minor"/>
      </rPr>
      <t>ø</t>
    </r>
    <r>
      <rPr>
        <sz val="11"/>
        <rFont val="Calibri"/>
        <family val="2"/>
        <scheme val="minor"/>
      </rPr>
      <t>12mm MS Rod</t>
    </r>
  </si>
  <si>
    <r>
      <rPr>
        <sz val="14"/>
        <rFont val="Calibri"/>
        <family val="2"/>
        <scheme val="minor"/>
      </rPr>
      <t>ø</t>
    </r>
    <r>
      <rPr>
        <sz val="11"/>
        <rFont val="Calibri"/>
        <family val="2"/>
        <scheme val="minor"/>
      </rPr>
      <t xml:space="preserve"> 8mm MS Rod</t>
    </r>
  </si>
  <si>
    <t>Plastic Paint</t>
  </si>
  <si>
    <t>Gal</t>
  </si>
  <si>
    <t>Roller</t>
  </si>
  <si>
    <t>Doz</t>
  </si>
  <si>
    <t>Brick</t>
  </si>
  <si>
    <t>Concrete Block For Verandah</t>
  </si>
  <si>
    <t>Pyinkado</t>
  </si>
  <si>
    <t>Jungle Wood</t>
  </si>
  <si>
    <t xml:space="preserve"> 5 Plywood</t>
  </si>
  <si>
    <t>(5"x2") U MS</t>
  </si>
  <si>
    <t>(4"x2") U MS</t>
  </si>
  <si>
    <t>(3"x2") Lip Channel GI</t>
  </si>
  <si>
    <t>Readymixed Paint</t>
  </si>
  <si>
    <t>Total Material Cost</t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</si>
  <si>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3" PVC Pipe (13.5)</t>
    </r>
  </si>
  <si>
    <t>Total Labour Cost</t>
  </si>
  <si>
    <t>Abstract of Cost</t>
  </si>
  <si>
    <t>Total Material &amp; Labour Cost</t>
  </si>
  <si>
    <t>Total Material &amp; Labour</t>
  </si>
  <si>
    <t>Bill of Quantity</t>
  </si>
  <si>
    <t>Amount (MMK)</t>
  </si>
  <si>
    <t>Summary</t>
  </si>
  <si>
    <t>Internal Electrical Work</t>
  </si>
  <si>
    <t>Civil Work</t>
  </si>
  <si>
    <t>M &amp; E Work</t>
  </si>
  <si>
    <t>Total Cost (Material + Labour + M&amp;E)</t>
  </si>
  <si>
    <t>Grand Total</t>
  </si>
  <si>
    <t>Say</t>
  </si>
  <si>
    <t>Materials</t>
  </si>
  <si>
    <t>Labours</t>
  </si>
  <si>
    <t>Name of Work   -           60'x30' 1 Storey R.C.C School (3 Units, 1 Storey)</t>
  </si>
  <si>
    <t>Retaining Wall Line A, C, E &amp; G</t>
  </si>
  <si>
    <t xml:space="preserve">Name of Project -        </t>
  </si>
  <si>
    <t>up to plinth</t>
  </si>
  <si>
    <t>Retaining Wall Line A, C , E &amp; G</t>
  </si>
  <si>
    <t>Roof Beam(Main)</t>
  </si>
  <si>
    <t>Wall Line A, C, E &amp; G</t>
  </si>
  <si>
    <t>Wall Line 4</t>
  </si>
  <si>
    <t>lintel &amp; Sills(line A, C, E &amp; G)</t>
  </si>
  <si>
    <t>Concrete Block over window</t>
  </si>
  <si>
    <t>up to Plinth (line 3)</t>
  </si>
  <si>
    <t>Up to Plinth(Main)</t>
  </si>
  <si>
    <t>Column(Main)</t>
  </si>
  <si>
    <t>line A &amp; G</t>
  </si>
  <si>
    <t>sunshade</t>
  </si>
  <si>
    <t>up to plinth (Front)</t>
  </si>
  <si>
    <t>1/2" Thk: Plastering with 1:3 Cement Mortor</t>
  </si>
  <si>
    <t>Lintel, Sill &amp; Handrail</t>
  </si>
  <si>
    <t>Main Building</t>
  </si>
  <si>
    <t>Sand Filling With Watering &amp; Ramming</t>
  </si>
  <si>
    <t>4½" thk; (1:3:6) Concrete Flooring with Water Proof Plastic Sheet</t>
  </si>
  <si>
    <t>1½" thk; (1:2:4) Concrete Floor Topping</t>
  </si>
  <si>
    <t>Verandah</t>
  </si>
  <si>
    <t>(1:2:4) RC Concrete Work</t>
  </si>
  <si>
    <t>Column (Main Building)</t>
  </si>
  <si>
    <t>Column (Verandah)</t>
  </si>
  <si>
    <t>Plinth Beam (12"x9")(Line 1 &amp; 3)</t>
  </si>
  <si>
    <t>Plinth Beam (12"x9")(L A, C, E &amp; G)</t>
  </si>
  <si>
    <t>Plinth Beam (9"x9") (line 4)</t>
  </si>
  <si>
    <t>Roof Beam (12"x9") (Line 1 &amp; 3)</t>
  </si>
  <si>
    <t>Roof Beam (9"x9") (line 4)</t>
  </si>
  <si>
    <t>Roof Beam (12"x9")(L A, C, E &amp; G)</t>
  </si>
  <si>
    <t>Lintel,Sill &amp; Handrail(Line 1, 3 &amp;4)</t>
  </si>
  <si>
    <t>Handrail(L A &amp; G btw L 3 &amp; 4)</t>
  </si>
  <si>
    <t>Stone Ballast</t>
  </si>
  <si>
    <t>Wire Nail</t>
  </si>
  <si>
    <t>Sand Paper</t>
  </si>
  <si>
    <t>Roofing Screw</t>
  </si>
  <si>
    <t>Coinyarn</t>
  </si>
  <si>
    <t>Line 4 (9"x9)</t>
  </si>
  <si>
    <t>Line A, C , E &amp; G (9"x12")</t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</si>
  <si>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16mm x 3 nos Top Bar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</si>
  <si>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8mm Stirrup @ 6" C/C 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</si>
  <si>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16mm x 3 nos Bottom Bar</t>
    </r>
  </si>
  <si>
    <t>Line 1 &amp; 3 (9"x12")</t>
  </si>
  <si>
    <t>Line A, C , E &amp; G (9"x9")</t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</si>
  <si>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12mm x 2 nos Lintels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</si>
  <si>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12mm x 2 nos Sills</t>
    </r>
  </si>
  <si>
    <t>Line A, C , E &amp; G</t>
  </si>
  <si>
    <t>Line 1 &amp; 3</t>
  </si>
  <si>
    <t>Line 4 (Handrail)</t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</si>
  <si>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6mm @ 6" c/c</t>
    </r>
  </si>
  <si>
    <r>
      <rPr>
        <b/>
        <sz val="14"/>
        <color theme="1"/>
        <rFont val="Calibri"/>
        <family val="2"/>
        <scheme val="minor"/>
      </rPr>
      <t>ø</t>
    </r>
    <r>
      <rPr>
        <b/>
        <sz val="11"/>
        <color theme="1"/>
        <rFont val="Calibri"/>
        <family val="2"/>
        <scheme val="minor"/>
      </rPr>
      <t xml:space="preserve"> 6mm</t>
    </r>
  </si>
  <si>
    <t>Plinth Beam (9"x12") Sides</t>
  </si>
  <si>
    <t>Plinth Beam (9"x9") Sides</t>
  </si>
  <si>
    <t>Bottom</t>
  </si>
  <si>
    <t>Sills for Window (line 1 &amp; 3)</t>
  </si>
  <si>
    <t>Lintels for Window (Line 1 &amp; 3)</t>
  </si>
  <si>
    <t>Lintels for Door (Line 3)</t>
  </si>
  <si>
    <t>Lintel for Window (Line A &amp; G)</t>
  </si>
  <si>
    <t>Sills for Window (line A &amp; G)</t>
  </si>
  <si>
    <t>Lintel &amp; Sill (line C &amp; E)</t>
  </si>
  <si>
    <t>Handrail (line 4)</t>
  </si>
  <si>
    <t>5"x2" U (MS) TB (Line P)</t>
  </si>
  <si>
    <t>5"x2" U (MS) TB (Line Q)</t>
  </si>
  <si>
    <t>Line B &amp; C (Front)</t>
  </si>
  <si>
    <t>Line B &amp; C (Back)</t>
  </si>
  <si>
    <t>Line A (Front)</t>
  </si>
  <si>
    <t>Line A (Back)</t>
  </si>
  <si>
    <t>Hip Rafter (Line P)</t>
  </si>
  <si>
    <t>Line Q</t>
  </si>
  <si>
    <t>H J Rafter ( line 1)</t>
  </si>
  <si>
    <t>H J R (line 2)</t>
  </si>
  <si>
    <t>H J R (line 3)</t>
  </si>
  <si>
    <t>H J Rafter ( line 4)</t>
  </si>
  <si>
    <t>H J R (line 5)</t>
  </si>
  <si>
    <t>H J R (line 6)</t>
  </si>
  <si>
    <t>Line B</t>
  </si>
  <si>
    <t>Line C</t>
  </si>
  <si>
    <t>Line A</t>
  </si>
  <si>
    <t>Line P</t>
  </si>
  <si>
    <t>Roofing Area</t>
  </si>
  <si>
    <t>Rigde Cover</t>
  </si>
  <si>
    <t>Hip cover</t>
  </si>
  <si>
    <t>Sides (Main)</t>
  </si>
  <si>
    <t>Sides (Verandah)</t>
  </si>
  <si>
    <t>Cement Board Ceiling With C-Channel Frame</t>
  </si>
  <si>
    <t>8"x1" Eave &amp; Verge Board (PKD)</t>
  </si>
  <si>
    <t>5"x2" PKD Chowket Work</t>
  </si>
  <si>
    <t>1½" thk; Teak Panelled Door</t>
  </si>
  <si>
    <t>Providing 3mm thk; Glass Fanlight</t>
  </si>
  <si>
    <t>3 Coats of Plastic Emulsion Paints</t>
  </si>
  <si>
    <t>Plaster Area</t>
  </si>
  <si>
    <t>Ceiling Area</t>
  </si>
  <si>
    <t>Painting 3 Coats to Wood Work</t>
  </si>
  <si>
    <t>Eave &amp; Verge Board</t>
  </si>
  <si>
    <t>Chowket</t>
  </si>
  <si>
    <t>Same as Item no. 7</t>
  </si>
  <si>
    <t>Same as Item no. 19</t>
  </si>
  <si>
    <t>3"Ø 13.5mm thk;  PVC Drain Pipe</t>
  </si>
  <si>
    <t>Front</t>
  </si>
  <si>
    <t>Back</t>
  </si>
  <si>
    <t>2000 Gal Water Tank (GI)</t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</si>
  <si>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12mm x 2 nos Handrail (sides)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</si>
  <si>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12mm x 2 nos Handrail (front)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</si>
  <si>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16mm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</si>
  <si>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>12mm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</si>
  <si>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8mm</t>
    </r>
  </si>
  <si>
    <r>
      <rPr>
        <sz val="14"/>
        <color theme="1"/>
        <rFont val="Calibri"/>
        <family val="2"/>
        <scheme val="minor"/>
      </rPr>
      <t>ø</t>
    </r>
    <r>
      <rPr>
        <sz val="11"/>
        <color theme="1"/>
        <rFont val="Calibri"/>
        <family val="2"/>
        <scheme val="minor"/>
      </rPr>
      <t xml:space="preserve"> 6mm</t>
    </r>
  </si>
  <si>
    <t xml:space="preserve">Handrail (line A &amp; G) </t>
  </si>
  <si>
    <t xml:space="preserve">4"x2"  Rafter </t>
  </si>
  <si>
    <t>4" x 2" King Post (RL B &amp; C)</t>
  </si>
  <si>
    <t>4"x2" Ridge</t>
  </si>
  <si>
    <t>Purlin 1 (Front &amp; Back)</t>
  </si>
  <si>
    <t>Purlin 2</t>
  </si>
  <si>
    <t>Purlin 3</t>
  </si>
  <si>
    <t>Purlin 4</t>
  </si>
  <si>
    <t>Purlin 5</t>
  </si>
  <si>
    <t>Purlin 6</t>
  </si>
  <si>
    <t>Purlin 7</t>
  </si>
  <si>
    <t>Purlin 8 (Sides)</t>
  </si>
  <si>
    <t>Purlin 9</t>
  </si>
  <si>
    <t>Purlin 10</t>
  </si>
  <si>
    <t>Purlin 11</t>
  </si>
  <si>
    <t>Purlin 12</t>
  </si>
  <si>
    <t>Purlin 13</t>
  </si>
  <si>
    <t>Purlin 14</t>
  </si>
  <si>
    <t>3"x2" GI Ridge  Piece</t>
  </si>
  <si>
    <t>(2"x2" L MS) Purlin Cleat</t>
  </si>
  <si>
    <t>4 angle Colour Sheet Roofing (0.4mm thk:)</t>
  </si>
  <si>
    <t>Colour Sheet Ridge Covering (0.4mm thk:)</t>
  </si>
  <si>
    <t>Verandah Soffit</t>
  </si>
  <si>
    <t>Front+Back+Main Soffit</t>
  </si>
  <si>
    <t>Over Door</t>
  </si>
  <si>
    <t>Lintel &amp; Sills(line 1 &amp; 3)</t>
  </si>
  <si>
    <t>RC Frame ( Line C &amp; E)</t>
  </si>
  <si>
    <t>Column(Verandah)</t>
  </si>
  <si>
    <t>Roof Beam(Verandah)</t>
  </si>
  <si>
    <t>RB (9"x9") (L A, C , E &amp; G) btw L 3 &amp;4</t>
  </si>
  <si>
    <t>PB (9"x9") (L  A, C , E &amp; G) btw L 3 &amp; 4</t>
  </si>
  <si>
    <t>Lintel, Sill &amp; RC Frame (L A,C,E &amp; G)</t>
  </si>
  <si>
    <t>Verandah Column (9"x9")</t>
  </si>
  <si>
    <t>PB (9"x12") Line C &amp; E  Sides</t>
  </si>
  <si>
    <t>PB (9"x9") L C &amp; E  Sides</t>
  </si>
  <si>
    <t>RB (9"x12") L C &amp; E (sides &amp; bot;)</t>
  </si>
  <si>
    <t>RB (9"x9") L C &amp; E (Sides &amp; bot;)</t>
  </si>
  <si>
    <t>Roof Beam (9"x12") Sides &amp; bot;</t>
  </si>
  <si>
    <t>Roof Beam (9"x9") sides &amp; bot</t>
  </si>
  <si>
    <r>
      <rPr>
        <sz val="14"/>
        <rFont val="Calibri"/>
        <family val="2"/>
        <scheme val="minor"/>
      </rPr>
      <t>ø</t>
    </r>
    <r>
      <rPr>
        <sz val="11"/>
        <rFont val="Calibri"/>
        <family val="2"/>
        <scheme val="minor"/>
      </rPr>
      <t xml:space="preserve"> 6mm MS Rod</t>
    </r>
  </si>
  <si>
    <t>Carpenters</t>
  </si>
  <si>
    <t>5"x2 PKD</t>
  </si>
  <si>
    <t>Bracket</t>
  </si>
  <si>
    <t>5" Hinge</t>
  </si>
  <si>
    <t>6" Sliding Bolt</t>
  </si>
  <si>
    <t>UPVC Window (M &amp; L Lump Sum)</t>
  </si>
  <si>
    <t>3mm thk; Glass</t>
  </si>
  <si>
    <t>Teak Beading</t>
  </si>
  <si>
    <t>Coinyan</t>
  </si>
  <si>
    <t>Rate (Ks)</t>
  </si>
  <si>
    <t>Amount (Ks)</t>
  </si>
  <si>
    <t>2'x2' Cement Board</t>
  </si>
  <si>
    <t>3"x2" PKD Joist</t>
  </si>
  <si>
    <t>2"x2" PKD Joist</t>
  </si>
  <si>
    <t>1.5" Wood Screw</t>
  </si>
  <si>
    <t>PVC Pipe</t>
  </si>
  <si>
    <t>Offsets &amp; Bends</t>
  </si>
  <si>
    <t>Plumber</t>
  </si>
  <si>
    <t>5"x5" Gutter</t>
  </si>
  <si>
    <t>Putty Trowel</t>
  </si>
  <si>
    <t>Emusion Paint</t>
  </si>
  <si>
    <t>Scaffolding Work</t>
  </si>
  <si>
    <t>7' 4 angle Colour Roofing Sheet</t>
  </si>
  <si>
    <t>6" Handle</t>
  </si>
  <si>
    <t>2"x.5" Teak Beading</t>
  </si>
  <si>
    <r>
      <t xml:space="preserve">Name of Project -         </t>
    </r>
    <r>
      <rPr>
        <sz val="14"/>
        <color theme="1"/>
        <rFont val="Win Innwa120"/>
      </rPr>
      <t xml:space="preserve"> </t>
    </r>
  </si>
  <si>
    <t>Name of Work    -           60'x30' 1 Storey R.C.C School (3 Units, 1 Storey)</t>
  </si>
  <si>
    <t>Concrete Screen Block</t>
  </si>
  <si>
    <t>(2"x2") L MS</t>
  </si>
  <si>
    <t>16mm ø MS Rod</t>
  </si>
  <si>
    <t>12mm ø MS Rod</t>
  </si>
  <si>
    <t>8mm ø MS Rod</t>
  </si>
  <si>
    <t>6mm ø MS Rod</t>
  </si>
  <si>
    <t>Drain Pipe Bracket</t>
  </si>
  <si>
    <t>Masons</t>
  </si>
  <si>
    <t>Steel Fixers</t>
  </si>
  <si>
    <t>Plumbers</t>
  </si>
  <si>
    <t>1st Class Brick</t>
  </si>
  <si>
    <t>16mm MS Rod</t>
  </si>
  <si>
    <t>12mm</t>
  </si>
  <si>
    <t>8mm</t>
  </si>
  <si>
    <t>6mm</t>
  </si>
  <si>
    <t xml:space="preserve"> 5mm Plywood (3 times used)</t>
  </si>
  <si>
    <t>5mm Plywood</t>
  </si>
  <si>
    <t>Roofing Sheet</t>
  </si>
  <si>
    <t>Colour Sheet Ridge Cover</t>
  </si>
  <si>
    <t>PKD</t>
  </si>
  <si>
    <t>Cement Board</t>
  </si>
  <si>
    <t>Door Bracket</t>
  </si>
  <si>
    <t>Door Chockwet Bracket</t>
  </si>
  <si>
    <t>.4mm thk; Colour Plain Ridge Colour</t>
  </si>
  <si>
    <r>
      <t xml:space="preserve">Name of Project -         </t>
    </r>
    <r>
      <rPr>
        <sz val="14"/>
        <color theme="1"/>
        <rFont val="Win Innwa120"/>
      </rPr>
      <t/>
    </r>
  </si>
  <si>
    <t>7% Profit</t>
  </si>
  <si>
    <t>3% Withholding Tax</t>
  </si>
  <si>
    <t xml:space="preserve">Name of Project -         </t>
  </si>
  <si>
    <t>x by slope factor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</si>
</sst>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"/>
  </numFmts>
  <fonts count="2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Win Innwa120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theme="1"/>
      <name val="Zawgyi-One"/>
      <family val="2"/>
    </font>
    <font>
      <b/>
      <sz val="9"/>
      <color theme="1"/>
      <name val="Zawgyi-One"/>
      <family val="2"/>
    </font>
    <font>
      <b/>
      <i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5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right" vertical="center"/>
    </xf>
    <xf numFmtId="2" fontId="0" fillId="0" borderId="2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64" fontId="0" fillId="0" borderId="4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2" fontId="7" fillId="0" borderId="4" xfId="0" applyNumberFormat="1" applyFont="1" applyBorder="1" applyAlignment="1">
      <alignment horizontal="left" vertical="center"/>
    </xf>
    <xf numFmtId="2" fontId="13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6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0" fillId="0" borderId="4" xfId="0" applyNumberFormat="1" applyFon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19" fillId="0" borderId="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7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/>
    <xf numFmtId="2" fontId="21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/>
    <xf numFmtId="2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vertical="center"/>
    </xf>
    <xf numFmtId="165" fontId="0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0" fillId="0" borderId="4" xfId="0" applyFont="1" applyBorder="1" applyAlignment="1">
      <alignment vertical="top"/>
    </xf>
    <xf numFmtId="3" fontId="5" fillId="0" borderId="2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2" fontId="14" fillId="0" borderId="8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2" fontId="0" fillId="0" borderId="3" xfId="0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34"/>
  <sheetViews>
    <sheetView tabSelected="1" topLeftCell="A64" zoomScaleNormal="100" workbookViewId="0">
      <selection activeCell="K79" sqref="K79"/>
    </sheetView>
  </sheetViews>
  <sheetFormatPr defaultRowHeight="19.5" customHeight="1"/>
  <cols>
    <col min="1" max="1" width="3.140625" style="3" customWidth="1"/>
    <col min="2" max="2" width="32.5703125" style="3" customWidth="1"/>
    <col min="3" max="4" width="4.28515625" style="3" customWidth="1"/>
    <col min="5" max="7" width="7.85546875" style="5" customWidth="1"/>
    <col min="8" max="8" width="8.5703125" style="5" customWidth="1"/>
    <col min="9" max="9" width="9.28515625" style="6" customWidth="1"/>
    <col min="10" max="10" width="4.28515625" style="5" customWidth="1"/>
    <col min="11" max="11" width="9" style="4" customWidth="1"/>
    <col min="12" max="12" width="10.140625" style="3" customWidth="1"/>
    <col min="13" max="13" width="30.140625" style="3" customWidth="1"/>
    <col min="14" max="14" width="9.28515625" style="3" customWidth="1"/>
    <col min="15" max="15" width="7.85546875" style="3" customWidth="1"/>
    <col min="16" max="16" width="10.7109375" style="3" customWidth="1"/>
    <col min="17" max="17" width="5" style="3" customWidth="1"/>
    <col min="18" max="16384" width="9.140625" style="3"/>
  </cols>
  <sheetData>
    <row r="1" spans="1:19" ht="17.25" customHeight="1">
      <c r="F1" s="12"/>
      <c r="G1" s="12"/>
      <c r="H1" s="12"/>
      <c r="I1" s="12"/>
      <c r="J1" s="12"/>
      <c r="K1" s="12"/>
    </row>
    <row r="2" spans="1:19" ht="24.75" customHeight="1">
      <c r="A2" s="297" t="s">
        <v>155</v>
      </c>
      <c r="B2" s="297"/>
      <c r="C2" s="297"/>
      <c r="D2" s="297"/>
      <c r="E2" s="297"/>
      <c r="F2" s="297"/>
      <c r="G2" s="297"/>
      <c r="H2" s="297"/>
      <c r="I2" s="12"/>
      <c r="J2" s="12"/>
      <c r="K2" s="12"/>
    </row>
    <row r="3" spans="1:19" ht="20.25" customHeight="1">
      <c r="A3" s="302" t="s">
        <v>153</v>
      </c>
      <c r="B3" s="302"/>
      <c r="C3" s="302"/>
      <c r="D3" s="302"/>
      <c r="E3" s="302"/>
      <c r="F3" s="302"/>
      <c r="G3" s="302"/>
      <c r="H3" s="302"/>
      <c r="I3" s="1"/>
      <c r="J3" s="1"/>
      <c r="K3" s="11"/>
    </row>
    <row r="4" spans="1:19" ht="22.5" customHeight="1" thickBot="1">
      <c r="A4" s="301" t="s">
        <v>77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</row>
    <row r="5" spans="1:19" ht="19.5" customHeight="1" thickBot="1">
      <c r="A5" s="286" t="s">
        <v>6</v>
      </c>
      <c r="B5" s="291" t="s">
        <v>1</v>
      </c>
      <c r="C5" s="291" t="s">
        <v>0</v>
      </c>
      <c r="D5" s="291"/>
      <c r="E5" s="291" t="s">
        <v>2</v>
      </c>
      <c r="F5" s="291"/>
      <c r="G5" s="291"/>
      <c r="H5" s="288" t="s">
        <v>10</v>
      </c>
      <c r="I5" s="295" t="s">
        <v>5</v>
      </c>
      <c r="J5" s="288" t="s">
        <v>63</v>
      </c>
      <c r="K5" s="286" t="s">
        <v>4</v>
      </c>
    </row>
    <row r="6" spans="1:19" ht="19.5" customHeight="1" thickBot="1">
      <c r="A6" s="287"/>
      <c r="B6" s="292"/>
      <c r="C6" s="292"/>
      <c r="D6" s="292"/>
      <c r="E6" s="13" t="s">
        <v>7</v>
      </c>
      <c r="F6" s="13" t="s">
        <v>8</v>
      </c>
      <c r="G6" s="13" t="s">
        <v>9</v>
      </c>
      <c r="H6" s="289"/>
      <c r="I6" s="296"/>
      <c r="J6" s="289"/>
      <c r="K6" s="287"/>
      <c r="N6" s="347"/>
      <c r="O6" s="347"/>
      <c r="P6" s="347"/>
      <c r="Q6" s="347"/>
      <c r="R6" s="347"/>
      <c r="S6" s="12"/>
    </row>
    <row r="7" spans="1:19" ht="19.5" customHeight="1">
      <c r="A7" s="16">
        <v>1</v>
      </c>
      <c r="B7" s="17" t="s">
        <v>11</v>
      </c>
      <c r="C7" s="16">
        <v>1</v>
      </c>
      <c r="D7" s="16"/>
      <c r="E7" s="18">
        <v>70</v>
      </c>
      <c r="F7" s="18">
        <v>40</v>
      </c>
      <c r="G7" s="18" t="s">
        <v>12</v>
      </c>
      <c r="H7" s="18"/>
      <c r="I7" s="7">
        <f>E7*F7</f>
        <v>2800</v>
      </c>
      <c r="J7" s="233" t="s">
        <v>64</v>
      </c>
      <c r="K7" s="19">
        <f>I7</f>
        <v>2800</v>
      </c>
    </row>
    <row r="8" spans="1:19" ht="19.5" customHeight="1">
      <c r="A8" s="20"/>
      <c r="B8" s="20"/>
      <c r="C8" s="20"/>
      <c r="D8" s="20"/>
      <c r="E8" s="21"/>
      <c r="F8" s="21"/>
      <c r="G8" s="21"/>
      <c r="H8" s="21"/>
      <c r="I8" s="9"/>
      <c r="J8" s="20"/>
      <c r="K8" s="22"/>
    </row>
    <row r="9" spans="1:19" ht="19.5" customHeight="1">
      <c r="A9" s="20">
        <v>2</v>
      </c>
      <c r="B9" s="23" t="s">
        <v>13</v>
      </c>
      <c r="C9" s="20"/>
      <c r="D9" s="20"/>
      <c r="E9" s="21"/>
      <c r="F9" s="21"/>
      <c r="G9" s="21"/>
      <c r="H9" s="21"/>
      <c r="I9" s="9"/>
      <c r="J9" s="20"/>
      <c r="K9" s="22"/>
    </row>
    <row r="10" spans="1:19" ht="19.5" customHeight="1">
      <c r="A10" s="20"/>
      <c r="B10" s="20" t="s">
        <v>14</v>
      </c>
      <c r="C10" s="20">
        <v>25</v>
      </c>
      <c r="D10" s="20"/>
      <c r="E10" s="21">
        <v>3.5</v>
      </c>
      <c r="F10" s="21">
        <v>3.5</v>
      </c>
      <c r="G10" s="21">
        <v>4</v>
      </c>
      <c r="H10" s="21"/>
      <c r="I10" s="9">
        <f>E10*F10*G10*C10</f>
        <v>1225</v>
      </c>
      <c r="J10" s="235" t="s">
        <v>65</v>
      </c>
      <c r="K10" s="22"/>
    </row>
    <row r="11" spans="1:19" ht="19.5" customHeight="1">
      <c r="A11" s="20"/>
      <c r="B11" s="20" t="s">
        <v>15</v>
      </c>
      <c r="C11" s="20">
        <v>3</v>
      </c>
      <c r="D11" s="20"/>
      <c r="E11" s="21">
        <v>39</v>
      </c>
      <c r="F11" s="21">
        <v>2.5</v>
      </c>
      <c r="G11" s="21">
        <v>2</v>
      </c>
      <c r="H11" s="21"/>
      <c r="I11" s="9">
        <f>C11*E11*F11*G11</f>
        <v>585</v>
      </c>
      <c r="J11" s="235" t="s">
        <v>65</v>
      </c>
      <c r="K11" s="22"/>
    </row>
    <row r="12" spans="1:19" ht="19.5" customHeight="1">
      <c r="A12" s="20"/>
      <c r="B12" s="82" t="s">
        <v>154</v>
      </c>
      <c r="C12" s="20">
        <v>4</v>
      </c>
      <c r="D12" s="20"/>
      <c r="E12" s="21">
        <v>19.5</v>
      </c>
      <c r="F12" s="21">
        <v>2.5</v>
      </c>
      <c r="G12" s="21">
        <v>2</v>
      </c>
      <c r="H12" s="21"/>
      <c r="I12" s="9">
        <f>C12*E12*F12*G12</f>
        <v>390</v>
      </c>
      <c r="J12" s="209" t="s">
        <v>65</v>
      </c>
      <c r="K12" s="24">
        <f>I10+I11+I12</f>
        <v>2200</v>
      </c>
    </row>
    <row r="13" spans="1:19" ht="19.5" customHeight="1">
      <c r="A13" s="20"/>
      <c r="B13" s="20"/>
      <c r="C13" s="20"/>
      <c r="D13" s="20"/>
      <c r="E13" s="21"/>
      <c r="F13" s="21"/>
      <c r="G13" s="21"/>
      <c r="H13" s="21"/>
      <c r="I13" s="9"/>
      <c r="J13" s="20"/>
      <c r="K13" s="22"/>
    </row>
    <row r="14" spans="1:19" ht="19.5" customHeight="1">
      <c r="A14" s="56">
        <v>3</v>
      </c>
      <c r="B14" s="85" t="s">
        <v>16</v>
      </c>
      <c r="C14" s="20"/>
      <c r="D14" s="20"/>
      <c r="E14" s="21"/>
      <c r="F14" s="21"/>
      <c r="G14" s="21"/>
      <c r="H14" s="21"/>
      <c r="I14" s="9"/>
      <c r="J14" s="20"/>
      <c r="K14" s="22"/>
    </row>
    <row r="15" spans="1:19" ht="19.5" customHeight="1">
      <c r="A15" s="20"/>
      <c r="B15" s="20" t="s">
        <v>14</v>
      </c>
      <c r="C15" s="20">
        <v>25</v>
      </c>
      <c r="D15" s="20"/>
      <c r="E15" s="21">
        <v>3.5</v>
      </c>
      <c r="F15" s="21">
        <v>3.5</v>
      </c>
      <c r="G15" s="21">
        <v>0.75</v>
      </c>
      <c r="H15" s="21"/>
      <c r="I15" s="9">
        <f>C15*E15*F15*G15</f>
        <v>229.6875</v>
      </c>
      <c r="J15" s="235" t="s">
        <v>65</v>
      </c>
      <c r="K15" s="22"/>
      <c r="L15" s="125"/>
    </row>
    <row r="16" spans="1:19" ht="19.5" customHeight="1">
      <c r="A16" s="20"/>
      <c r="B16" s="20" t="s">
        <v>15</v>
      </c>
      <c r="C16" s="20">
        <v>3</v>
      </c>
      <c r="D16" s="20"/>
      <c r="E16" s="21">
        <v>39</v>
      </c>
      <c r="F16" s="21">
        <v>2.5</v>
      </c>
      <c r="G16" s="21">
        <v>0.25</v>
      </c>
      <c r="H16" s="21"/>
      <c r="I16" s="9">
        <f>C16*E16*F16*G16</f>
        <v>73.125</v>
      </c>
      <c r="J16" s="235" t="s">
        <v>65</v>
      </c>
      <c r="K16" s="22"/>
    </row>
    <row r="17" spans="1:12" ht="19.5" customHeight="1">
      <c r="A17" s="20"/>
      <c r="B17" s="82" t="s">
        <v>154</v>
      </c>
      <c r="C17" s="20">
        <v>4</v>
      </c>
      <c r="D17" s="20"/>
      <c r="E17" s="21">
        <v>19.5</v>
      </c>
      <c r="F17" s="21">
        <v>2.5</v>
      </c>
      <c r="G17" s="21">
        <v>0.25</v>
      </c>
      <c r="H17" s="21"/>
      <c r="I17" s="9">
        <f>C17*E17*G17*F17</f>
        <v>48.75</v>
      </c>
      <c r="J17" s="209" t="s">
        <v>65</v>
      </c>
      <c r="K17" s="24">
        <f>I15+I16+I17</f>
        <v>351.5625</v>
      </c>
    </row>
    <row r="18" spans="1:12" ht="19.5" customHeight="1">
      <c r="A18" s="20"/>
      <c r="B18" s="20"/>
      <c r="C18" s="20"/>
      <c r="D18" s="20"/>
      <c r="E18" s="21"/>
      <c r="F18" s="21"/>
      <c r="G18" s="21"/>
      <c r="H18" s="21"/>
      <c r="I18" s="9"/>
      <c r="J18" s="20"/>
      <c r="K18" s="22"/>
    </row>
    <row r="19" spans="1:12" ht="19.5" customHeight="1">
      <c r="A19" s="20">
        <v>4</v>
      </c>
      <c r="B19" s="23" t="s">
        <v>17</v>
      </c>
      <c r="C19" s="20"/>
      <c r="D19" s="20"/>
      <c r="E19" s="21" t="s">
        <v>35</v>
      </c>
      <c r="F19" s="21"/>
      <c r="G19" s="21"/>
      <c r="H19" s="21"/>
      <c r="I19" s="9"/>
      <c r="J19" s="20"/>
      <c r="K19" s="22"/>
    </row>
    <row r="20" spans="1:12" ht="19.5" customHeight="1">
      <c r="A20" s="20"/>
      <c r="B20" s="20" t="s">
        <v>14</v>
      </c>
      <c r="C20" s="20">
        <v>25</v>
      </c>
      <c r="D20" s="20"/>
      <c r="E20" s="21">
        <v>3.5</v>
      </c>
      <c r="F20" s="21">
        <v>3.5</v>
      </c>
      <c r="G20" s="21">
        <v>0.25</v>
      </c>
      <c r="H20" s="21"/>
      <c r="I20" s="9">
        <f>G20*F20*E20*C20</f>
        <v>76.5625</v>
      </c>
      <c r="J20" s="235" t="s">
        <v>65</v>
      </c>
      <c r="K20" s="22"/>
    </row>
    <row r="21" spans="1:12" ht="19.5" customHeight="1">
      <c r="A21" s="20"/>
      <c r="B21" s="20" t="s">
        <v>15</v>
      </c>
      <c r="C21" s="20">
        <v>3</v>
      </c>
      <c r="D21" s="20"/>
      <c r="E21" s="21">
        <v>39</v>
      </c>
      <c r="F21" s="21">
        <v>2.5</v>
      </c>
      <c r="G21" s="21">
        <v>0.25</v>
      </c>
      <c r="H21" s="21"/>
      <c r="I21" s="9">
        <f>C21*E21*F21*G21</f>
        <v>73.125</v>
      </c>
      <c r="J21" s="235" t="s">
        <v>65</v>
      </c>
      <c r="K21" s="22"/>
    </row>
    <row r="22" spans="1:12" ht="19.5" customHeight="1">
      <c r="A22" s="20"/>
      <c r="B22" s="82" t="s">
        <v>154</v>
      </c>
      <c r="C22" s="20">
        <v>4</v>
      </c>
      <c r="D22" s="20"/>
      <c r="E22" s="21">
        <v>19.5</v>
      </c>
      <c r="F22" s="21">
        <v>2.5</v>
      </c>
      <c r="G22" s="21">
        <v>0.25</v>
      </c>
      <c r="H22" s="21"/>
      <c r="I22" s="9">
        <f>C22*E22*F22*G22</f>
        <v>48.75</v>
      </c>
      <c r="J22" s="209" t="s">
        <v>65</v>
      </c>
      <c r="K22" s="24">
        <f>I20+I21+I22</f>
        <v>198.4375</v>
      </c>
      <c r="L22" s="125"/>
    </row>
    <row r="23" spans="1:12" ht="19.5" customHeight="1">
      <c r="A23" s="81"/>
      <c r="B23" s="56"/>
      <c r="C23" s="56"/>
      <c r="D23" s="56"/>
      <c r="E23" s="62"/>
      <c r="F23" s="62"/>
      <c r="G23" s="62"/>
      <c r="H23" s="21"/>
      <c r="I23" s="9"/>
      <c r="J23" s="87"/>
      <c r="K23" s="80"/>
    </row>
    <row r="24" spans="1:12" ht="19.5" customHeight="1">
      <c r="A24" s="20">
        <v>5</v>
      </c>
      <c r="B24" s="294" t="s">
        <v>95</v>
      </c>
      <c r="C24" s="294"/>
      <c r="D24" s="294"/>
      <c r="E24" s="21"/>
      <c r="F24" s="21"/>
      <c r="G24" s="21"/>
      <c r="H24" s="21"/>
      <c r="I24" s="9"/>
      <c r="J24" s="20"/>
      <c r="K24" s="22"/>
    </row>
    <row r="25" spans="1:12" ht="19.5" customHeight="1">
      <c r="A25" s="20"/>
      <c r="B25" s="23" t="s">
        <v>18</v>
      </c>
      <c r="C25" s="20"/>
      <c r="D25" s="20"/>
      <c r="E25" s="21"/>
      <c r="F25" s="21"/>
      <c r="G25" s="21"/>
      <c r="H25" s="21"/>
      <c r="I25" s="9"/>
      <c r="J25" s="20"/>
      <c r="K25" s="22"/>
    </row>
    <row r="26" spans="1:12" ht="19.5" customHeight="1">
      <c r="A26" s="20"/>
      <c r="B26" s="20" t="s">
        <v>19</v>
      </c>
      <c r="C26" s="20">
        <v>2</v>
      </c>
      <c r="D26" s="20"/>
      <c r="E26" s="21">
        <v>55.5</v>
      </c>
      <c r="F26" s="21">
        <v>1.5</v>
      </c>
      <c r="G26" s="21">
        <v>0.25</v>
      </c>
      <c r="H26" s="21"/>
      <c r="I26" s="9">
        <f>C26*E26*F26*G26</f>
        <v>41.625</v>
      </c>
      <c r="J26" s="235" t="s">
        <v>65</v>
      </c>
      <c r="K26" s="22"/>
    </row>
    <row r="27" spans="1:12" ht="19.5" customHeight="1">
      <c r="A27" s="20"/>
      <c r="B27" s="20" t="s">
        <v>20</v>
      </c>
      <c r="C27" s="20">
        <v>2</v>
      </c>
      <c r="D27" s="20"/>
      <c r="E27" s="21">
        <v>55.5</v>
      </c>
      <c r="F27" s="21">
        <v>1.1299999999999999</v>
      </c>
      <c r="G27" s="21">
        <v>0.25</v>
      </c>
      <c r="H27" s="21"/>
      <c r="I27" s="9">
        <f>C27*E27*F27*G27</f>
        <v>31.357499999999998</v>
      </c>
      <c r="J27" s="235" t="s">
        <v>65</v>
      </c>
      <c r="K27" s="22"/>
    </row>
    <row r="28" spans="1:12" ht="19.5" customHeight="1">
      <c r="A28" s="20"/>
      <c r="B28" s="88" t="s">
        <v>156</v>
      </c>
      <c r="C28" s="20">
        <v>2</v>
      </c>
      <c r="D28" s="20"/>
      <c r="E28" s="21">
        <v>55.5</v>
      </c>
      <c r="F28" s="21">
        <v>0.75</v>
      </c>
      <c r="G28" s="21">
        <v>3</v>
      </c>
      <c r="H28" s="21"/>
      <c r="I28" s="9">
        <f>C28*E28*F28*G28</f>
        <v>249.75</v>
      </c>
      <c r="J28" s="235" t="s">
        <v>65</v>
      </c>
      <c r="K28" s="24"/>
    </row>
    <row r="29" spans="1:12" ht="19.5" customHeight="1">
      <c r="A29" s="20"/>
      <c r="B29" s="20"/>
      <c r="C29" s="20"/>
      <c r="D29" s="20"/>
      <c r="E29" s="21"/>
      <c r="F29" s="21"/>
      <c r="G29" s="21"/>
      <c r="H29" s="21"/>
      <c r="I29" s="9"/>
      <c r="J29" s="20"/>
      <c r="K29" s="22"/>
    </row>
    <row r="30" spans="1:12" ht="19.5" customHeight="1">
      <c r="A30" s="20"/>
      <c r="B30" s="23" t="s">
        <v>21</v>
      </c>
      <c r="C30" s="20"/>
      <c r="D30" s="20"/>
      <c r="E30" s="21"/>
      <c r="F30" s="21"/>
      <c r="G30" s="21"/>
      <c r="H30" s="21"/>
      <c r="I30" s="9"/>
      <c r="J30" s="20"/>
      <c r="K30" s="22"/>
    </row>
    <row r="31" spans="1:12" ht="19.5" customHeight="1">
      <c r="A31" s="20"/>
      <c r="B31" s="20" t="s">
        <v>19</v>
      </c>
      <c r="C31" s="20">
        <v>1</v>
      </c>
      <c r="D31" s="20"/>
      <c r="E31" s="21">
        <v>55.5</v>
      </c>
      <c r="F31" s="21">
        <v>1.5</v>
      </c>
      <c r="G31" s="21">
        <v>0.25</v>
      </c>
      <c r="H31" s="21"/>
      <c r="I31" s="9">
        <f>C31*E31*F31*G31</f>
        <v>20.8125</v>
      </c>
      <c r="J31" s="235" t="s">
        <v>65</v>
      </c>
      <c r="K31" s="22"/>
    </row>
    <row r="32" spans="1:12" ht="19.5" customHeight="1">
      <c r="A32" s="20"/>
      <c r="B32" s="20" t="s">
        <v>20</v>
      </c>
      <c r="C32" s="20">
        <v>1</v>
      </c>
      <c r="D32" s="20"/>
      <c r="E32" s="21">
        <v>55.5</v>
      </c>
      <c r="F32" s="21">
        <v>1.1299999999999999</v>
      </c>
      <c r="G32" s="21">
        <v>0.25</v>
      </c>
      <c r="H32" s="21"/>
      <c r="I32" s="9">
        <f>C32*E32*F32*G32</f>
        <v>15.678749999999999</v>
      </c>
      <c r="J32" s="235" t="s">
        <v>65</v>
      </c>
      <c r="K32" s="22"/>
    </row>
    <row r="33" spans="1:12" ht="19.5" customHeight="1">
      <c r="A33" s="20"/>
      <c r="B33" s="88" t="s">
        <v>156</v>
      </c>
      <c r="C33" s="20">
        <v>1</v>
      </c>
      <c r="D33" s="20"/>
      <c r="E33" s="21">
        <v>55.5</v>
      </c>
      <c r="F33" s="21">
        <v>0.75</v>
      </c>
      <c r="G33" s="62">
        <v>2.67</v>
      </c>
      <c r="H33" s="21"/>
      <c r="I33" s="9">
        <f>C33*E33*F33*G33</f>
        <v>111.13875</v>
      </c>
      <c r="J33" s="235" t="s">
        <v>65</v>
      </c>
      <c r="K33" s="24"/>
      <c r="L33" s="5"/>
    </row>
    <row r="34" spans="1:12" ht="19.5" customHeight="1">
      <c r="A34" s="20"/>
      <c r="B34" s="20"/>
      <c r="C34" s="20"/>
      <c r="D34" s="20"/>
      <c r="E34" s="21"/>
      <c r="F34" s="21"/>
      <c r="G34" s="21"/>
      <c r="H34" s="21"/>
      <c r="I34" s="9"/>
      <c r="J34" s="20"/>
      <c r="K34" s="22"/>
    </row>
    <row r="35" spans="1:12" ht="19.5" customHeight="1">
      <c r="A35" s="20"/>
      <c r="B35" s="86" t="s">
        <v>157</v>
      </c>
      <c r="C35" s="20"/>
      <c r="D35" s="20"/>
      <c r="E35" s="21"/>
      <c r="F35" s="21"/>
      <c r="G35" s="21"/>
      <c r="H35" s="21"/>
      <c r="I35" s="9"/>
      <c r="J35" s="20"/>
      <c r="K35" s="22"/>
    </row>
    <row r="36" spans="1:12" ht="19.5" customHeight="1">
      <c r="A36" s="20"/>
      <c r="B36" s="25" t="s">
        <v>72</v>
      </c>
      <c r="C36" s="20">
        <v>4</v>
      </c>
      <c r="D36" s="20"/>
      <c r="E36" s="21">
        <v>22.5</v>
      </c>
      <c r="F36" s="21">
        <v>1.5</v>
      </c>
      <c r="G36" s="21">
        <v>0.25</v>
      </c>
      <c r="H36" s="21"/>
      <c r="I36" s="9">
        <f t="shared" ref="I36:I41" si="0">C36*E36*F36*G36</f>
        <v>33.75</v>
      </c>
      <c r="J36" s="235" t="s">
        <v>65</v>
      </c>
      <c r="K36" s="22"/>
    </row>
    <row r="37" spans="1:12" ht="19.5" customHeight="1">
      <c r="A37" s="20"/>
      <c r="B37" s="20" t="s">
        <v>20</v>
      </c>
      <c r="C37" s="20">
        <v>4</v>
      </c>
      <c r="D37" s="20"/>
      <c r="E37" s="21">
        <v>22.5</v>
      </c>
      <c r="F37" s="21">
        <v>1.1299999999999999</v>
      </c>
      <c r="G37" s="21">
        <v>0.25</v>
      </c>
      <c r="H37" s="21"/>
      <c r="I37" s="9">
        <f t="shared" si="0"/>
        <v>25.424999999999997</v>
      </c>
      <c r="J37" s="235" t="s">
        <v>65</v>
      </c>
      <c r="K37" s="22"/>
    </row>
    <row r="38" spans="1:12" ht="19.5" customHeight="1">
      <c r="A38" s="20"/>
      <c r="B38" s="88" t="s">
        <v>156</v>
      </c>
      <c r="C38" s="20">
        <v>4</v>
      </c>
      <c r="D38" s="20"/>
      <c r="E38" s="21">
        <v>22.5</v>
      </c>
      <c r="F38" s="21">
        <v>0.75</v>
      </c>
      <c r="G38" s="21">
        <v>3</v>
      </c>
      <c r="H38" s="21"/>
      <c r="I38" s="9">
        <f t="shared" si="0"/>
        <v>202.5</v>
      </c>
      <c r="J38" s="235" t="s">
        <v>65</v>
      </c>
      <c r="K38" s="24"/>
    </row>
    <row r="39" spans="1:12" ht="19.5" customHeight="1">
      <c r="A39" s="20"/>
      <c r="B39" s="25" t="s">
        <v>73</v>
      </c>
      <c r="C39" s="20">
        <v>4</v>
      </c>
      <c r="D39" s="20"/>
      <c r="E39" s="21">
        <v>5.25</v>
      </c>
      <c r="F39" s="21">
        <v>1.5</v>
      </c>
      <c r="G39" s="21">
        <v>0.25</v>
      </c>
      <c r="H39" s="21"/>
      <c r="I39" s="9">
        <f t="shared" si="0"/>
        <v>7.875</v>
      </c>
      <c r="J39" s="235" t="s">
        <v>65</v>
      </c>
      <c r="K39" s="22"/>
    </row>
    <row r="40" spans="1:12" ht="19.5" customHeight="1">
      <c r="A40" s="20"/>
      <c r="B40" s="20" t="s">
        <v>20</v>
      </c>
      <c r="C40" s="20">
        <v>4</v>
      </c>
      <c r="D40" s="20"/>
      <c r="E40" s="21">
        <v>5.25</v>
      </c>
      <c r="F40" s="21">
        <v>1.1299999999999999</v>
      </c>
      <c r="G40" s="21">
        <v>0.25</v>
      </c>
      <c r="H40" s="21"/>
      <c r="I40" s="9">
        <f t="shared" si="0"/>
        <v>5.9324999999999992</v>
      </c>
      <c r="J40" s="235" t="s">
        <v>65</v>
      </c>
      <c r="K40" s="22"/>
    </row>
    <row r="41" spans="1:12" ht="19.5" customHeight="1">
      <c r="A41" s="20"/>
      <c r="B41" s="88" t="s">
        <v>156</v>
      </c>
      <c r="C41" s="20">
        <v>4</v>
      </c>
      <c r="D41" s="20"/>
      <c r="E41" s="21">
        <v>5.25</v>
      </c>
      <c r="F41" s="21">
        <v>0.75</v>
      </c>
      <c r="G41" s="62">
        <v>2.67</v>
      </c>
      <c r="H41" s="21"/>
      <c r="I41" s="9">
        <f t="shared" si="0"/>
        <v>42.052500000000002</v>
      </c>
      <c r="J41" s="235" t="s">
        <v>65</v>
      </c>
      <c r="K41" s="24"/>
    </row>
    <row r="42" spans="1:12" ht="19.5" customHeight="1">
      <c r="A42" s="20"/>
      <c r="B42" s="87" t="s">
        <v>22</v>
      </c>
      <c r="C42" s="20">
        <v>6</v>
      </c>
      <c r="D42" s="20"/>
      <c r="E42" s="21">
        <v>20</v>
      </c>
      <c r="F42" s="21">
        <v>1</v>
      </c>
      <c r="G42" s="195">
        <v>0.63</v>
      </c>
      <c r="H42" s="21"/>
      <c r="I42" s="9">
        <f>C42*E42*F42*G42</f>
        <v>75.599999999999994</v>
      </c>
      <c r="J42" s="209" t="s">
        <v>65</v>
      </c>
      <c r="K42" s="24">
        <f>I26+I27+I28+I31+I32+I33+I36+I37+I38+I39+I40+I41+I42</f>
        <v>863.49750000000006</v>
      </c>
      <c r="L42" s="5"/>
    </row>
    <row r="43" spans="1:12" ht="19.5" customHeight="1">
      <c r="A43" s="20"/>
      <c r="B43" s="20"/>
      <c r="C43" s="20"/>
      <c r="D43" s="20"/>
      <c r="E43" s="21"/>
      <c r="F43" s="21"/>
      <c r="G43" s="21"/>
      <c r="H43" s="21"/>
      <c r="I43" s="9"/>
      <c r="J43" s="20"/>
      <c r="K43" s="22"/>
    </row>
    <row r="44" spans="1:12" ht="19.5" customHeight="1">
      <c r="A44" s="84"/>
      <c r="B44" s="84"/>
      <c r="C44" s="84"/>
      <c r="D44" s="84"/>
      <c r="E44" s="21"/>
      <c r="F44" s="21"/>
      <c r="G44" s="21"/>
      <c r="H44" s="21"/>
      <c r="I44" s="9"/>
      <c r="J44" s="84"/>
      <c r="K44" s="83"/>
    </row>
    <row r="45" spans="1:12" ht="19.5" customHeight="1">
      <c r="A45" s="56">
        <v>6</v>
      </c>
      <c r="B45" s="293" t="s">
        <v>23</v>
      </c>
      <c r="C45" s="293"/>
      <c r="D45" s="26"/>
      <c r="E45" s="147"/>
      <c r="F45" s="21"/>
      <c r="G45" s="21"/>
      <c r="H45" s="21"/>
      <c r="I45" s="9"/>
      <c r="J45" s="20"/>
      <c r="K45" s="22"/>
    </row>
    <row r="46" spans="1:12" ht="19.5" customHeight="1">
      <c r="A46" s="20"/>
      <c r="B46" s="20" t="s">
        <v>24</v>
      </c>
      <c r="C46" s="20">
        <v>2</v>
      </c>
      <c r="D46" s="20"/>
      <c r="E46" s="21">
        <v>55.5</v>
      </c>
      <c r="F46" s="21"/>
      <c r="G46" s="21">
        <v>12</v>
      </c>
      <c r="H46" s="21"/>
      <c r="I46" s="9">
        <f>C46*E46*G46</f>
        <v>1332</v>
      </c>
      <c r="J46" s="235" t="s">
        <v>64</v>
      </c>
      <c r="K46" s="22"/>
    </row>
    <row r="47" spans="1:12" ht="19.5" customHeight="1">
      <c r="A47" s="20"/>
      <c r="B47" s="91" t="s">
        <v>159</v>
      </c>
      <c r="C47" s="20">
        <v>4</v>
      </c>
      <c r="D47" s="20"/>
      <c r="E47" s="21">
        <v>22.5</v>
      </c>
      <c r="F47" s="21"/>
      <c r="G47" s="21">
        <v>12</v>
      </c>
      <c r="H47" s="21"/>
      <c r="I47" s="9">
        <f>C47*E47*G47</f>
        <v>1080</v>
      </c>
      <c r="J47" s="235" t="s">
        <v>64</v>
      </c>
      <c r="K47" s="22"/>
    </row>
    <row r="48" spans="1:12" ht="19.5" customHeight="1">
      <c r="A48" s="20"/>
      <c r="B48" s="91" t="s">
        <v>160</v>
      </c>
      <c r="C48" s="20">
        <v>1</v>
      </c>
      <c r="D48" s="20"/>
      <c r="E48" s="21">
        <v>37</v>
      </c>
      <c r="F48" s="21"/>
      <c r="G48" s="21">
        <v>3.25</v>
      </c>
      <c r="H48" s="21"/>
      <c r="I48" s="9">
        <f>C48*E48*G48</f>
        <v>120.25</v>
      </c>
      <c r="J48" s="235" t="s">
        <v>64</v>
      </c>
      <c r="K48" s="22"/>
    </row>
    <row r="49" spans="1:22" ht="19.5" customHeight="1">
      <c r="A49" s="102"/>
      <c r="B49" s="103" t="s">
        <v>166</v>
      </c>
      <c r="C49" s="102">
        <v>2</v>
      </c>
      <c r="D49" s="102"/>
      <c r="E49" s="21">
        <v>5.25</v>
      </c>
      <c r="F49" s="21"/>
      <c r="G49" s="21">
        <v>3.25</v>
      </c>
      <c r="H49" s="21"/>
      <c r="I49" s="9">
        <f>C49*E49*G49</f>
        <v>34.125</v>
      </c>
      <c r="J49" s="235" t="s">
        <v>64</v>
      </c>
      <c r="K49" s="119"/>
      <c r="L49" s="5"/>
    </row>
    <row r="50" spans="1:22" ht="19.5" customHeight="1">
      <c r="A50" s="20"/>
      <c r="B50" s="20"/>
      <c r="C50" s="20"/>
      <c r="D50" s="20"/>
      <c r="E50" s="21"/>
      <c r="F50" s="21"/>
      <c r="G50" s="21"/>
      <c r="H50" s="21"/>
      <c r="I50" s="10">
        <f>SUM(I46:I49)</f>
        <v>2566.375</v>
      </c>
      <c r="J50" s="235" t="s">
        <v>64</v>
      </c>
      <c r="K50" s="22"/>
    </row>
    <row r="51" spans="1:22" ht="19.5" customHeight="1">
      <c r="A51" s="20"/>
      <c r="B51" s="23" t="s">
        <v>3</v>
      </c>
      <c r="C51" s="20"/>
      <c r="D51" s="20"/>
      <c r="E51" s="21"/>
      <c r="F51" s="21"/>
      <c r="G51" s="21"/>
      <c r="H51" s="21"/>
      <c r="I51" s="9"/>
      <c r="J51" s="25"/>
      <c r="K51" s="22"/>
    </row>
    <row r="52" spans="1:22" ht="19.5" customHeight="1">
      <c r="A52" s="20"/>
      <c r="B52" s="20" t="s">
        <v>28</v>
      </c>
      <c r="C52" s="20">
        <v>13</v>
      </c>
      <c r="D52" s="20"/>
      <c r="E52" s="21">
        <v>6</v>
      </c>
      <c r="F52" s="21"/>
      <c r="G52" s="21">
        <v>5.5</v>
      </c>
      <c r="H52" s="21">
        <f>C52*E52*G52</f>
        <v>429</v>
      </c>
      <c r="I52" s="9"/>
      <c r="J52" s="235" t="s">
        <v>64</v>
      </c>
      <c r="K52" s="22"/>
    </row>
    <row r="53" spans="1:22" ht="19.5" customHeight="1">
      <c r="A53" s="20"/>
      <c r="B53" s="20" t="s">
        <v>29</v>
      </c>
      <c r="C53" s="20">
        <v>3</v>
      </c>
      <c r="D53" s="20"/>
      <c r="E53" s="62">
        <v>4.33</v>
      </c>
      <c r="F53" s="62"/>
      <c r="G53" s="62">
        <v>8.5</v>
      </c>
      <c r="H53" s="21">
        <f>C53*E53*G53</f>
        <v>110.41500000000001</v>
      </c>
      <c r="I53" s="9"/>
      <c r="J53" s="235" t="s">
        <v>64</v>
      </c>
      <c r="K53" s="24"/>
    </row>
    <row r="54" spans="1:22" ht="19.5" customHeight="1">
      <c r="A54" s="90"/>
      <c r="B54" s="193" t="s">
        <v>287</v>
      </c>
      <c r="C54" s="90">
        <v>21</v>
      </c>
      <c r="D54" s="90"/>
      <c r="E54" s="21">
        <v>9.25</v>
      </c>
      <c r="F54" s="21"/>
      <c r="G54" s="21">
        <v>0.25</v>
      </c>
      <c r="H54" s="21">
        <f>C54*E54*G54</f>
        <v>48.5625</v>
      </c>
      <c r="I54" s="9"/>
      <c r="J54" s="235" t="s">
        <v>64</v>
      </c>
      <c r="K54" s="89"/>
    </row>
    <row r="55" spans="1:22" ht="19.5" customHeight="1">
      <c r="A55" s="90"/>
      <c r="B55" s="91" t="s">
        <v>161</v>
      </c>
      <c r="C55" s="90">
        <v>2</v>
      </c>
      <c r="D55" s="90">
        <v>4</v>
      </c>
      <c r="E55" s="21">
        <v>11.25</v>
      </c>
      <c r="F55" s="21"/>
      <c r="G55" s="21">
        <v>0.25</v>
      </c>
      <c r="H55" s="21">
        <f>C55*D55*E55*G55</f>
        <v>22.5</v>
      </c>
      <c r="I55" s="9"/>
      <c r="J55" s="235" t="s">
        <v>64</v>
      </c>
      <c r="K55" s="89"/>
    </row>
    <row r="56" spans="1:22" ht="19.5" customHeight="1">
      <c r="A56" s="90"/>
      <c r="B56" s="193" t="s">
        <v>288</v>
      </c>
      <c r="C56" s="90">
        <v>2</v>
      </c>
      <c r="D56" s="90">
        <v>4</v>
      </c>
      <c r="E56" s="21">
        <v>11.25</v>
      </c>
      <c r="F56" s="21"/>
      <c r="G56" s="21">
        <v>0.25</v>
      </c>
      <c r="H56" s="21">
        <f>C56*D56*E56*G56</f>
        <v>22.5</v>
      </c>
      <c r="I56" s="9"/>
      <c r="J56" s="91"/>
      <c r="K56" s="89"/>
    </row>
    <row r="57" spans="1:22" ht="19.5" customHeight="1">
      <c r="A57" s="90"/>
      <c r="B57" s="91" t="s">
        <v>162</v>
      </c>
      <c r="C57" s="90">
        <v>9</v>
      </c>
      <c r="D57" s="90">
        <v>10</v>
      </c>
      <c r="E57" s="21">
        <v>0.67</v>
      </c>
      <c r="F57" s="21"/>
      <c r="G57" s="21">
        <v>0.67</v>
      </c>
      <c r="H57" s="21">
        <f>C57*D57*E57*G57</f>
        <v>40.401000000000003</v>
      </c>
      <c r="I57" s="9">
        <f>I50</f>
        <v>2566.375</v>
      </c>
      <c r="J57" s="235" t="s">
        <v>64</v>
      </c>
      <c r="K57" s="89"/>
    </row>
    <row r="58" spans="1:22" ht="19.5" customHeight="1" thickBot="1">
      <c r="A58" s="20"/>
      <c r="B58" s="193" t="s">
        <v>128</v>
      </c>
      <c r="C58" s="20">
        <v>4</v>
      </c>
      <c r="D58" s="20">
        <v>10</v>
      </c>
      <c r="E58" s="21">
        <v>0.67</v>
      </c>
      <c r="F58" s="21"/>
      <c r="G58" s="27">
        <v>0.66700000000000004</v>
      </c>
      <c r="H58" s="21">
        <f>C58*D58*E58*G58</f>
        <v>17.875600000000002</v>
      </c>
      <c r="I58" s="97">
        <f>-H59</f>
        <v>-691.25409999999988</v>
      </c>
      <c r="J58" s="235" t="s">
        <v>64</v>
      </c>
      <c r="K58" s="24"/>
      <c r="L58" s="5"/>
    </row>
    <row r="59" spans="1:22" ht="19.5" customHeight="1" thickTop="1">
      <c r="A59" s="20"/>
      <c r="B59" s="20"/>
      <c r="C59" s="20"/>
      <c r="D59" s="20"/>
      <c r="E59" s="21"/>
      <c r="F59" s="21"/>
      <c r="G59" s="21"/>
      <c r="H59" s="24">
        <f>SUM(H52:H58)</f>
        <v>691.25409999999988</v>
      </c>
      <c r="I59" s="96">
        <f>I50-H59</f>
        <v>1875.1209000000001</v>
      </c>
      <c r="J59" s="209" t="s">
        <v>64</v>
      </c>
      <c r="K59" s="89">
        <f>I50-H59</f>
        <v>1875.1209000000001</v>
      </c>
    </row>
    <row r="60" spans="1:22" ht="19.5" customHeight="1">
      <c r="A60" s="20"/>
      <c r="B60" s="20"/>
      <c r="C60" s="20"/>
      <c r="D60" s="20"/>
      <c r="E60" s="21"/>
      <c r="F60" s="21"/>
      <c r="G60" s="21"/>
      <c r="H60" s="24"/>
      <c r="I60" s="9"/>
      <c r="J60" s="20"/>
      <c r="K60" s="24"/>
      <c r="N60" s="14"/>
      <c r="O60" s="14"/>
      <c r="P60" s="14"/>
      <c r="Q60" s="14"/>
      <c r="R60" s="14"/>
      <c r="S60" s="14"/>
      <c r="T60" s="14"/>
      <c r="U60" s="14"/>
      <c r="V60" s="14"/>
    </row>
    <row r="61" spans="1:22" ht="19.5" customHeight="1">
      <c r="A61" s="56">
        <v>7</v>
      </c>
      <c r="B61" s="290" t="s">
        <v>169</v>
      </c>
      <c r="C61" s="290"/>
      <c r="D61" s="290"/>
      <c r="E61" s="21"/>
      <c r="F61" s="21"/>
      <c r="G61" s="21"/>
      <c r="H61" s="21"/>
      <c r="I61" s="9"/>
      <c r="J61" s="20"/>
      <c r="K61" s="22"/>
      <c r="N61" s="14"/>
      <c r="O61" s="300"/>
      <c r="P61" s="300"/>
      <c r="Q61" s="300"/>
      <c r="R61" s="14"/>
      <c r="S61" s="273"/>
      <c r="T61" s="273"/>
      <c r="U61" s="273"/>
      <c r="V61" s="99"/>
    </row>
    <row r="62" spans="1:22" ht="19.5" customHeight="1">
      <c r="A62" s="20"/>
      <c r="B62" s="103" t="s">
        <v>30</v>
      </c>
      <c r="C62" s="20">
        <v>2</v>
      </c>
      <c r="D62" s="20"/>
      <c r="E62" s="21">
        <f>K59</f>
        <v>1875.1209000000001</v>
      </c>
      <c r="F62" s="21"/>
      <c r="G62" s="21"/>
      <c r="H62" s="21"/>
      <c r="I62" s="9">
        <f>C62*E62</f>
        <v>3750.2418000000002</v>
      </c>
      <c r="J62" s="20" t="s">
        <v>64</v>
      </c>
      <c r="K62" s="22"/>
      <c r="N62" s="14"/>
      <c r="O62" s="98"/>
      <c r="P62" s="14"/>
      <c r="Q62" s="14"/>
      <c r="R62" s="273"/>
      <c r="S62" s="273"/>
      <c r="T62" s="273"/>
      <c r="U62" s="273"/>
      <c r="V62" s="99"/>
    </row>
    <row r="63" spans="1:22" ht="19.5" customHeight="1">
      <c r="A63" s="94"/>
      <c r="B63" s="103" t="s">
        <v>170</v>
      </c>
      <c r="C63" s="94">
        <v>2</v>
      </c>
      <c r="D63" s="94"/>
      <c r="E63" s="21">
        <f>H54+H55+H56</f>
        <v>93.5625</v>
      </c>
      <c r="F63" s="21"/>
      <c r="G63" s="21"/>
      <c r="H63" s="21"/>
      <c r="I63" s="9">
        <f>C63*E63</f>
        <v>187.125</v>
      </c>
      <c r="J63" s="102" t="s">
        <v>64</v>
      </c>
      <c r="K63" s="93"/>
      <c r="N63" s="14"/>
      <c r="O63" s="98"/>
      <c r="P63" s="14"/>
      <c r="Q63" s="14"/>
      <c r="R63" s="273"/>
      <c r="S63" s="273"/>
      <c r="T63" s="273"/>
      <c r="U63" s="273"/>
      <c r="V63" s="99"/>
    </row>
    <row r="64" spans="1:22" ht="19.5" customHeight="1">
      <c r="A64" s="20"/>
      <c r="B64" s="95" t="s">
        <v>164</v>
      </c>
      <c r="C64" s="20">
        <v>1</v>
      </c>
      <c r="D64" s="20"/>
      <c r="E64" s="21">
        <f>60.75+24.75+24.75</f>
        <v>110.25</v>
      </c>
      <c r="F64" s="21"/>
      <c r="G64" s="21">
        <v>3</v>
      </c>
      <c r="H64" s="21"/>
      <c r="I64" s="9">
        <f>C64*E64*G64</f>
        <v>330.75</v>
      </c>
      <c r="J64" s="20" t="s">
        <v>64</v>
      </c>
      <c r="K64" s="22"/>
      <c r="N64" s="14"/>
      <c r="O64" s="98"/>
      <c r="P64" s="14"/>
      <c r="Q64" s="14"/>
      <c r="R64" s="273"/>
      <c r="S64" s="273"/>
      <c r="T64" s="273"/>
      <c r="U64" s="273"/>
      <c r="V64" s="99"/>
    </row>
    <row r="65" spans="1:22" ht="19.5" customHeight="1">
      <c r="A65" s="20"/>
      <c r="B65" s="95" t="s">
        <v>163</v>
      </c>
      <c r="C65" s="20">
        <v>1</v>
      </c>
      <c r="D65" s="20"/>
      <c r="E65" s="21">
        <v>60</v>
      </c>
      <c r="F65" s="21"/>
      <c r="G65" s="195">
        <v>0.57999999999999996</v>
      </c>
      <c r="H65" s="21"/>
      <c r="I65" s="9">
        <f>C65*E65*G65</f>
        <v>34.799999999999997</v>
      </c>
      <c r="J65" s="20" t="s">
        <v>64</v>
      </c>
      <c r="K65" s="22"/>
      <c r="N65" s="14"/>
      <c r="O65" s="98"/>
      <c r="P65" s="14"/>
      <c r="Q65" s="14"/>
      <c r="R65" s="14"/>
      <c r="S65" s="273"/>
      <c r="T65" s="273"/>
      <c r="U65" s="273"/>
      <c r="V65" s="99"/>
    </row>
    <row r="66" spans="1:22" ht="19.5" customHeight="1">
      <c r="A66" s="20"/>
      <c r="B66" s="103" t="s">
        <v>168</v>
      </c>
      <c r="C66" s="20">
        <v>1</v>
      </c>
      <c r="D66" s="20"/>
      <c r="E66" s="21">
        <f>20.75+20.75+6+6</f>
        <v>53.5</v>
      </c>
      <c r="F66" s="21"/>
      <c r="G66" s="21">
        <v>2.67</v>
      </c>
      <c r="H66" s="21"/>
      <c r="I66" s="9">
        <f>C66*E66*G66</f>
        <v>142.845</v>
      </c>
      <c r="J66" s="20" t="s">
        <v>64</v>
      </c>
      <c r="K66" s="22"/>
      <c r="N66" s="14"/>
      <c r="O66" s="98"/>
      <c r="P66" s="14"/>
      <c r="Q66" s="14"/>
      <c r="R66" s="14"/>
      <c r="S66" s="273"/>
      <c r="T66" s="273"/>
      <c r="U66" s="273"/>
      <c r="V66" s="99"/>
    </row>
    <row r="67" spans="1:22" ht="19.5" customHeight="1">
      <c r="A67" s="20"/>
      <c r="B67" s="103" t="s">
        <v>158</v>
      </c>
      <c r="C67" s="20">
        <v>1</v>
      </c>
      <c r="D67" s="20"/>
      <c r="E67" s="21">
        <f>60.75+60.75+24.75+24.75</f>
        <v>171</v>
      </c>
      <c r="F67" s="21"/>
      <c r="G67" s="21">
        <v>1</v>
      </c>
      <c r="H67" s="21"/>
      <c r="I67" s="9">
        <f>C67*E67*G67</f>
        <v>171</v>
      </c>
      <c r="J67" s="102" t="s">
        <v>64</v>
      </c>
      <c r="K67" s="24"/>
      <c r="N67" s="14"/>
      <c r="O67" s="98"/>
      <c r="P67" s="14"/>
      <c r="Q67" s="14"/>
      <c r="R67" s="14"/>
      <c r="S67" s="273"/>
      <c r="T67" s="273"/>
      <c r="U67" s="273"/>
      <c r="V67" s="99"/>
    </row>
    <row r="68" spans="1:22" ht="19.5" customHeight="1">
      <c r="A68" s="102"/>
      <c r="B68" s="193" t="s">
        <v>290</v>
      </c>
      <c r="C68" s="102">
        <v>3</v>
      </c>
      <c r="D68" s="102"/>
      <c r="E68" s="21">
        <v>72.75</v>
      </c>
      <c r="F68" s="21"/>
      <c r="G68" s="21">
        <v>0.75</v>
      </c>
      <c r="H68" s="21"/>
      <c r="I68" s="9">
        <f>C68*E68*G68</f>
        <v>163.6875</v>
      </c>
      <c r="J68" s="102" t="s">
        <v>64</v>
      </c>
      <c r="K68" s="100"/>
      <c r="N68" s="14"/>
      <c r="O68" s="98"/>
      <c r="P68" s="14"/>
      <c r="Q68" s="14"/>
      <c r="R68" s="14"/>
      <c r="S68" s="8"/>
      <c r="T68" s="8"/>
      <c r="U68" s="8"/>
      <c r="V68" s="99"/>
    </row>
    <row r="69" spans="1:22" ht="19.5" customHeight="1">
      <c r="A69" s="94"/>
      <c r="B69" s="95" t="s">
        <v>165</v>
      </c>
      <c r="C69" s="94">
        <v>2</v>
      </c>
      <c r="D69" s="94">
        <v>24</v>
      </c>
      <c r="E69" s="21">
        <v>0.75</v>
      </c>
      <c r="F69" s="21"/>
      <c r="G69" s="21">
        <v>12</v>
      </c>
      <c r="H69" s="21"/>
      <c r="I69" s="9">
        <f>C69*D69*E69*G69</f>
        <v>432</v>
      </c>
      <c r="J69" s="102" t="s">
        <v>64</v>
      </c>
      <c r="K69" s="92"/>
      <c r="N69" s="14"/>
      <c r="O69" s="98"/>
      <c r="P69" s="14"/>
      <c r="Q69" s="14"/>
      <c r="R69" s="14"/>
      <c r="S69" s="8"/>
      <c r="T69" s="8"/>
      <c r="U69" s="8"/>
      <c r="V69" s="99"/>
    </row>
    <row r="70" spans="1:22" ht="19.5" customHeight="1">
      <c r="A70" s="94"/>
      <c r="B70" s="193" t="s">
        <v>289</v>
      </c>
      <c r="C70" s="94">
        <v>4</v>
      </c>
      <c r="D70" s="94">
        <v>7</v>
      </c>
      <c r="E70" s="21">
        <v>0.75</v>
      </c>
      <c r="F70" s="21"/>
      <c r="G70" s="195">
        <v>10.33</v>
      </c>
      <c r="H70" s="21"/>
      <c r="I70" s="9">
        <f>C70*D70*E70*G70</f>
        <v>216.93</v>
      </c>
      <c r="J70" s="102" t="s">
        <v>64</v>
      </c>
      <c r="K70" s="92"/>
      <c r="N70" s="14"/>
      <c r="O70" s="98"/>
      <c r="P70" s="14"/>
      <c r="Q70" s="14"/>
      <c r="R70" s="14"/>
      <c r="S70" s="8"/>
      <c r="T70" s="8"/>
      <c r="U70" s="8"/>
      <c r="V70" s="99"/>
    </row>
    <row r="71" spans="1:22" ht="19.5" customHeight="1">
      <c r="A71" s="94"/>
      <c r="B71" s="103" t="s">
        <v>167</v>
      </c>
      <c r="C71" s="94">
        <v>2</v>
      </c>
      <c r="D71" s="94">
        <v>10</v>
      </c>
      <c r="E71" s="21">
        <v>7</v>
      </c>
      <c r="F71" s="21"/>
      <c r="G71" s="21">
        <v>0.38</v>
      </c>
      <c r="H71" s="21"/>
      <c r="I71" s="9">
        <f>C71*D71*E71*G71</f>
        <v>53.2</v>
      </c>
      <c r="J71" s="101" t="s">
        <v>64</v>
      </c>
      <c r="K71" s="92">
        <f>I62+I63+I64+I65+I66+I67+I68+I69+I70+I71</f>
        <v>5482.5793000000003</v>
      </c>
      <c r="N71" s="14"/>
      <c r="O71" s="98"/>
      <c r="P71" s="14"/>
      <c r="Q71" s="14"/>
      <c r="R71" s="14"/>
      <c r="S71" s="8"/>
      <c r="T71" s="8"/>
      <c r="U71" s="8"/>
      <c r="V71" s="99"/>
    </row>
    <row r="72" spans="1:22" ht="19.5" customHeight="1">
      <c r="A72" s="94"/>
      <c r="B72" s="95"/>
      <c r="C72" s="94"/>
      <c r="D72" s="94"/>
      <c r="E72" s="21"/>
      <c r="F72" s="21"/>
      <c r="G72" s="21"/>
      <c r="H72" s="21"/>
      <c r="I72" s="9"/>
      <c r="J72" s="93"/>
      <c r="K72" s="92"/>
      <c r="N72" s="14"/>
      <c r="O72" s="98"/>
      <c r="P72" s="14"/>
      <c r="Q72" s="14"/>
      <c r="R72" s="14"/>
      <c r="S72" s="8"/>
      <c r="T72" s="8"/>
      <c r="U72" s="8"/>
      <c r="V72" s="99"/>
    </row>
    <row r="73" spans="1:22" ht="19.5" customHeight="1">
      <c r="A73" s="102">
        <v>8</v>
      </c>
      <c r="B73" s="104" t="s">
        <v>67</v>
      </c>
      <c r="C73" s="102"/>
      <c r="D73" s="102"/>
      <c r="E73" s="21"/>
      <c r="F73" s="21"/>
      <c r="G73" s="21"/>
      <c r="H73" s="21"/>
      <c r="I73" s="9"/>
      <c r="J73" s="101"/>
      <c r="K73" s="100"/>
      <c r="N73" s="14"/>
      <c r="O73" s="98"/>
      <c r="P73" s="14"/>
      <c r="Q73" s="14"/>
      <c r="R73" s="14"/>
      <c r="S73" s="8"/>
      <c r="T73" s="8"/>
      <c r="U73" s="8"/>
      <c r="V73" s="99"/>
    </row>
    <row r="74" spans="1:22" ht="19.5" customHeight="1">
      <c r="A74" s="102"/>
      <c r="B74" s="103" t="s">
        <v>171</v>
      </c>
      <c r="C74" s="102">
        <v>3</v>
      </c>
      <c r="D74" s="102"/>
      <c r="E74" s="21">
        <v>19.25</v>
      </c>
      <c r="F74" s="21">
        <v>23.25</v>
      </c>
      <c r="G74" s="21">
        <v>1.67</v>
      </c>
      <c r="H74" s="21"/>
      <c r="I74" s="9">
        <f>C74*E74*F74*G74</f>
        <v>2242.288125</v>
      </c>
      <c r="J74" s="107" t="s">
        <v>65</v>
      </c>
      <c r="K74" s="100"/>
      <c r="N74" s="14"/>
      <c r="O74" s="98"/>
      <c r="P74" s="14"/>
      <c r="Q74" s="14"/>
      <c r="R74" s="14"/>
      <c r="S74" s="8"/>
      <c r="T74" s="8"/>
      <c r="U74" s="8"/>
      <c r="V74" s="99"/>
    </row>
    <row r="75" spans="1:22" ht="19.5" customHeight="1">
      <c r="A75" s="102"/>
      <c r="B75" s="109" t="s">
        <v>175</v>
      </c>
      <c r="C75" s="102">
        <v>3</v>
      </c>
      <c r="D75" s="102"/>
      <c r="E75" s="21">
        <v>19.25</v>
      </c>
      <c r="F75" s="21">
        <v>5.25</v>
      </c>
      <c r="G75" s="21">
        <v>1.3</v>
      </c>
      <c r="H75" s="21"/>
      <c r="I75" s="9">
        <f>C75*E75*F75*G75</f>
        <v>394.14375000000001</v>
      </c>
      <c r="J75" s="105" t="s">
        <v>65</v>
      </c>
      <c r="K75" s="100">
        <f>I74+I75</f>
        <v>2636.4318750000002</v>
      </c>
      <c r="N75" s="14"/>
      <c r="O75" s="98"/>
      <c r="P75" s="14"/>
      <c r="Q75" s="14"/>
      <c r="R75" s="14"/>
      <c r="S75" s="8"/>
      <c r="T75" s="8"/>
      <c r="U75" s="8"/>
      <c r="V75" s="99"/>
    </row>
    <row r="76" spans="1:22" ht="19.5" customHeight="1">
      <c r="A76" s="102"/>
      <c r="B76" s="103"/>
      <c r="C76" s="102"/>
      <c r="D76" s="102"/>
      <c r="E76" s="21"/>
      <c r="F76" s="21"/>
      <c r="G76" s="21"/>
      <c r="H76" s="21"/>
      <c r="I76" s="9"/>
      <c r="J76" s="101"/>
      <c r="K76" s="100"/>
      <c r="N76" s="14"/>
      <c r="O76" s="98"/>
      <c r="P76" s="14"/>
      <c r="Q76" s="14"/>
      <c r="R76" s="14"/>
      <c r="S76" s="8"/>
      <c r="T76" s="8"/>
      <c r="U76" s="8"/>
      <c r="V76" s="99"/>
    </row>
    <row r="77" spans="1:22" ht="19.5" customHeight="1">
      <c r="A77" s="102">
        <v>9</v>
      </c>
      <c r="B77" s="298" t="s">
        <v>172</v>
      </c>
      <c r="C77" s="299"/>
      <c r="D77" s="102"/>
      <c r="E77" s="21"/>
      <c r="F77" s="21"/>
      <c r="G77" s="21"/>
      <c r="H77" s="21"/>
      <c r="I77" s="9"/>
      <c r="J77" s="101"/>
      <c r="K77" s="100"/>
      <c r="N77" s="14"/>
      <c r="O77" s="98"/>
      <c r="P77" s="14"/>
      <c r="Q77" s="14"/>
      <c r="R77" s="14"/>
      <c r="S77" s="8"/>
      <c r="T77" s="8"/>
      <c r="U77" s="8"/>
      <c r="V77" s="99"/>
    </row>
    <row r="78" spans="1:22" ht="19.5" customHeight="1">
      <c r="A78" s="102"/>
      <c r="B78" s="108" t="s">
        <v>171</v>
      </c>
      <c r="C78" s="102">
        <v>3</v>
      </c>
      <c r="D78" s="102"/>
      <c r="E78" s="21">
        <v>19.25</v>
      </c>
      <c r="F78" s="21">
        <v>23.25</v>
      </c>
      <c r="G78" s="21">
        <v>1</v>
      </c>
      <c r="H78" s="21"/>
      <c r="I78" s="9">
        <f>C78*E78*F78*G78</f>
        <v>1342.6875</v>
      </c>
      <c r="J78" s="107" t="s">
        <v>65</v>
      </c>
      <c r="K78" s="100"/>
      <c r="N78" s="14"/>
      <c r="O78" s="98"/>
      <c r="P78" s="14"/>
      <c r="Q78" s="14"/>
      <c r="R78" s="14"/>
      <c r="S78" s="8"/>
      <c r="T78" s="8"/>
      <c r="U78" s="8"/>
      <c r="V78" s="99"/>
    </row>
    <row r="79" spans="1:22" ht="19.5" customHeight="1">
      <c r="A79" s="102"/>
      <c r="B79" s="118" t="s">
        <v>175</v>
      </c>
      <c r="C79" s="102">
        <v>3</v>
      </c>
      <c r="D79" s="102"/>
      <c r="E79" s="21">
        <v>19.25</v>
      </c>
      <c r="F79" s="21">
        <v>5.25</v>
      </c>
      <c r="G79" s="21">
        <v>1</v>
      </c>
      <c r="H79" s="21"/>
      <c r="I79" s="9">
        <f>C79*E79*F79*G79</f>
        <v>303.1875</v>
      </c>
      <c r="J79" s="105" t="s">
        <v>65</v>
      </c>
      <c r="K79" s="100">
        <f>I78+I79</f>
        <v>1645.875</v>
      </c>
      <c r="N79" s="14"/>
      <c r="O79" s="98"/>
      <c r="P79" s="14"/>
      <c r="Q79" s="14"/>
      <c r="R79" s="14"/>
      <c r="S79" s="8"/>
      <c r="T79" s="8"/>
      <c r="U79" s="8"/>
      <c r="V79" s="99"/>
    </row>
    <row r="80" spans="1:22" ht="19.5" customHeight="1">
      <c r="A80" s="102"/>
      <c r="B80" s="103"/>
      <c r="C80" s="102"/>
      <c r="D80" s="102"/>
      <c r="E80" s="21"/>
      <c r="F80" s="21"/>
      <c r="G80" s="21"/>
      <c r="H80" s="21"/>
      <c r="I80" s="9"/>
      <c r="J80" s="101"/>
      <c r="K80" s="100"/>
      <c r="N80" s="14"/>
      <c r="O80" s="98"/>
      <c r="P80" s="14"/>
      <c r="Q80" s="14"/>
      <c r="R80" s="14"/>
      <c r="S80" s="8"/>
      <c r="T80" s="8"/>
      <c r="U80" s="8"/>
      <c r="V80" s="99"/>
    </row>
    <row r="81" spans="1:22" ht="19.5" customHeight="1">
      <c r="A81" s="102">
        <v>10</v>
      </c>
      <c r="B81" s="298" t="s">
        <v>173</v>
      </c>
      <c r="C81" s="300"/>
      <c r="D81" s="300"/>
      <c r="E81" s="300"/>
      <c r="F81" s="299"/>
      <c r="G81" s="21"/>
      <c r="H81" s="21"/>
      <c r="I81" s="9"/>
      <c r="J81" s="101"/>
      <c r="K81" s="100"/>
      <c r="M81" s="98"/>
      <c r="N81" s="14"/>
      <c r="O81" s="14"/>
      <c r="P81" s="8"/>
      <c r="Q81" s="8"/>
      <c r="R81" s="8"/>
      <c r="S81" s="8"/>
      <c r="T81" s="99"/>
      <c r="U81" s="8"/>
      <c r="V81" s="99"/>
    </row>
    <row r="82" spans="1:22" ht="19.5" customHeight="1">
      <c r="A82" s="102"/>
      <c r="B82" s="108" t="s">
        <v>171</v>
      </c>
      <c r="C82" s="102">
        <v>3</v>
      </c>
      <c r="D82" s="102"/>
      <c r="E82" s="21">
        <v>19.25</v>
      </c>
      <c r="F82" s="21">
        <v>23.25</v>
      </c>
      <c r="G82" s="21">
        <v>0.38</v>
      </c>
      <c r="H82" s="21"/>
      <c r="I82" s="9">
        <f>C82*E82*F82*G82</f>
        <v>510.22125</v>
      </c>
      <c r="J82" s="107" t="s">
        <v>65</v>
      </c>
      <c r="K82" s="100"/>
      <c r="N82" s="14"/>
      <c r="O82" s="98"/>
      <c r="P82" s="14"/>
      <c r="Q82" s="14"/>
      <c r="R82" s="14"/>
      <c r="S82" s="8"/>
      <c r="T82" s="8"/>
      <c r="U82" s="8"/>
      <c r="V82" s="99"/>
    </row>
    <row r="83" spans="1:22" ht="19.5" customHeight="1">
      <c r="A83" s="102"/>
      <c r="B83" s="109" t="s">
        <v>175</v>
      </c>
      <c r="C83" s="102">
        <v>3</v>
      </c>
      <c r="D83" s="102"/>
      <c r="E83" s="21">
        <v>19.25</v>
      </c>
      <c r="F83" s="21">
        <v>5.25</v>
      </c>
      <c r="G83" s="21">
        <v>0.38</v>
      </c>
      <c r="H83" s="21"/>
      <c r="I83" s="9">
        <f>C83*E83*F83*G83</f>
        <v>115.21125000000001</v>
      </c>
      <c r="J83" s="105" t="s">
        <v>65</v>
      </c>
      <c r="K83" s="100">
        <f>I82+I83</f>
        <v>625.4325</v>
      </c>
      <c r="N83" s="14"/>
      <c r="O83" s="98"/>
      <c r="P83" s="14"/>
      <c r="Q83" s="14"/>
      <c r="R83" s="14"/>
      <c r="S83" s="8"/>
      <c r="T83" s="8"/>
      <c r="U83" s="8"/>
      <c r="V83" s="99"/>
    </row>
    <row r="84" spans="1:22" ht="19.5" customHeight="1">
      <c r="A84" s="102"/>
      <c r="B84" s="103"/>
      <c r="C84" s="102"/>
      <c r="D84" s="102"/>
      <c r="E84" s="21"/>
      <c r="F84" s="21"/>
      <c r="G84" s="21"/>
      <c r="H84" s="21"/>
      <c r="I84" s="9"/>
      <c r="J84" s="101"/>
      <c r="K84" s="100"/>
      <c r="M84" s="14"/>
      <c r="N84" s="14"/>
      <c r="O84" s="98"/>
      <c r="P84" s="14"/>
      <c r="Q84" s="14"/>
      <c r="R84" s="14"/>
      <c r="S84" s="273"/>
      <c r="T84" s="273"/>
      <c r="U84" s="8"/>
      <c r="V84" s="99"/>
    </row>
    <row r="85" spans="1:22" ht="19.5" customHeight="1">
      <c r="A85" s="107">
        <v>11</v>
      </c>
      <c r="B85" s="104" t="s">
        <v>174</v>
      </c>
      <c r="C85" s="104"/>
      <c r="D85" s="107"/>
      <c r="E85" s="21"/>
      <c r="F85" s="21"/>
      <c r="G85" s="21"/>
      <c r="H85" s="21"/>
      <c r="I85" s="9"/>
      <c r="J85" s="105"/>
      <c r="K85" s="106"/>
      <c r="M85" s="14"/>
      <c r="N85" s="14"/>
      <c r="O85" s="98"/>
      <c r="P85" s="14"/>
      <c r="Q85" s="14"/>
      <c r="R85" s="14"/>
      <c r="S85" s="273"/>
      <c r="T85" s="273"/>
      <c r="U85" s="8"/>
      <c r="V85" s="99"/>
    </row>
    <row r="86" spans="1:22" ht="19.5" customHeight="1">
      <c r="A86" s="107"/>
      <c r="B86" s="108" t="s">
        <v>171</v>
      </c>
      <c r="C86" s="107">
        <v>3</v>
      </c>
      <c r="D86" s="107"/>
      <c r="E86" s="21">
        <v>19.8</v>
      </c>
      <c r="F86" s="21">
        <v>24</v>
      </c>
      <c r="G86" s="21"/>
      <c r="H86" s="21"/>
      <c r="I86" s="9">
        <f>C86*E86*F86</f>
        <v>1425.6000000000001</v>
      </c>
      <c r="J86" s="190" t="s">
        <v>64</v>
      </c>
      <c r="K86" s="106"/>
      <c r="M86" s="14"/>
      <c r="N86" s="14"/>
      <c r="O86" s="240"/>
      <c r="P86" s="273"/>
      <c r="Q86" s="273"/>
      <c r="R86" s="273"/>
      <c r="S86" s="99"/>
      <c r="T86" s="273"/>
      <c r="U86" s="8"/>
      <c r="V86" s="99"/>
    </row>
    <row r="87" spans="1:22" ht="19.5" customHeight="1">
      <c r="A87" s="107"/>
      <c r="B87" s="109" t="s">
        <v>175</v>
      </c>
      <c r="C87" s="107">
        <v>1</v>
      </c>
      <c r="D87" s="107"/>
      <c r="E87" s="21">
        <v>60</v>
      </c>
      <c r="F87" s="21">
        <v>5.63</v>
      </c>
      <c r="G87" s="21"/>
      <c r="H87" s="21"/>
      <c r="I87" s="9">
        <f>C87*E87*F87</f>
        <v>337.8</v>
      </c>
      <c r="J87" s="189" t="s">
        <v>64</v>
      </c>
      <c r="K87" s="106">
        <f>I86+I87</f>
        <v>1763.4</v>
      </c>
      <c r="N87" s="14"/>
      <c r="O87" s="98"/>
      <c r="P87" s="14"/>
      <c r="Q87" s="14"/>
      <c r="R87" s="14"/>
      <c r="S87" s="8"/>
      <c r="T87" s="8"/>
      <c r="U87" s="8"/>
      <c r="V87" s="99"/>
    </row>
    <row r="88" spans="1:22" ht="19.5" customHeight="1">
      <c r="A88" s="102"/>
      <c r="B88" s="103"/>
      <c r="C88" s="102"/>
      <c r="D88" s="102"/>
      <c r="E88" s="21"/>
      <c r="F88" s="21"/>
      <c r="G88" s="21"/>
      <c r="H88" s="21"/>
      <c r="I88" s="9"/>
      <c r="J88" s="101"/>
      <c r="K88" s="100"/>
      <c r="N88" s="14"/>
      <c r="O88" s="98"/>
      <c r="P88" s="14"/>
      <c r="Q88" s="14"/>
      <c r="R88" s="14"/>
      <c r="S88" s="8"/>
      <c r="T88" s="8"/>
      <c r="U88" s="8"/>
      <c r="V88" s="99"/>
    </row>
    <row r="89" spans="1:22" ht="19.5" customHeight="1">
      <c r="A89" s="113">
        <v>12</v>
      </c>
      <c r="B89" s="110" t="s">
        <v>176</v>
      </c>
      <c r="C89" s="113"/>
      <c r="D89" s="113"/>
      <c r="E89" s="21"/>
      <c r="F89" s="21"/>
      <c r="G89" s="21"/>
      <c r="H89" s="21"/>
      <c r="I89" s="9"/>
      <c r="J89" s="111"/>
      <c r="K89" s="112"/>
      <c r="N89" s="14"/>
      <c r="O89" s="98"/>
      <c r="P89" s="14"/>
      <c r="Q89" s="14"/>
      <c r="R89" s="14"/>
      <c r="S89" s="8"/>
      <c r="T89" s="8"/>
      <c r="U89" s="8"/>
      <c r="V89" s="99"/>
    </row>
    <row r="90" spans="1:22" ht="19.5" customHeight="1">
      <c r="A90" s="113"/>
      <c r="B90" s="114" t="s">
        <v>32</v>
      </c>
      <c r="C90" s="113">
        <v>25</v>
      </c>
      <c r="D90" s="113"/>
      <c r="E90" s="21">
        <v>3.5</v>
      </c>
      <c r="F90" s="21">
        <v>3.5</v>
      </c>
      <c r="G90" s="21">
        <v>0.75</v>
      </c>
      <c r="H90" s="21"/>
      <c r="I90" s="9">
        <f t="shared" ref="I90:I103" si="1">C90*E90*F90*G90</f>
        <v>229.6875</v>
      </c>
      <c r="J90" s="113" t="s">
        <v>65</v>
      </c>
      <c r="K90" s="112"/>
      <c r="N90" s="14"/>
      <c r="O90" s="98"/>
      <c r="P90" s="14"/>
      <c r="Q90" s="14"/>
      <c r="R90" s="14"/>
      <c r="S90" s="8"/>
      <c r="T90" s="8"/>
      <c r="U90" s="8"/>
      <c r="V90" s="99"/>
    </row>
    <row r="91" spans="1:22" ht="19.5" customHeight="1">
      <c r="A91" s="113"/>
      <c r="B91" s="114" t="s">
        <v>177</v>
      </c>
      <c r="C91" s="113">
        <v>18</v>
      </c>
      <c r="D91" s="113"/>
      <c r="E91" s="21">
        <v>0.75</v>
      </c>
      <c r="F91" s="21">
        <v>0.75</v>
      </c>
      <c r="G91" s="21">
        <v>17.25</v>
      </c>
      <c r="H91" s="21"/>
      <c r="I91" s="9">
        <f t="shared" si="1"/>
        <v>174.65625</v>
      </c>
      <c r="J91" s="113" t="s">
        <v>65</v>
      </c>
      <c r="K91" s="112"/>
      <c r="N91" s="14"/>
      <c r="O91" s="98"/>
      <c r="P91" s="14"/>
      <c r="Q91" s="14"/>
      <c r="R91" s="14"/>
      <c r="S91" s="8"/>
      <c r="T91" s="8"/>
      <c r="U91" s="8"/>
      <c r="V91" s="99"/>
    </row>
    <row r="92" spans="1:22" ht="19.5" customHeight="1">
      <c r="A92" s="113"/>
      <c r="B92" s="114" t="s">
        <v>178</v>
      </c>
      <c r="C92" s="113">
        <v>7</v>
      </c>
      <c r="D92" s="113"/>
      <c r="E92" s="21">
        <v>0.75</v>
      </c>
      <c r="F92" s="21">
        <v>0.75</v>
      </c>
      <c r="G92" s="195">
        <v>14.75</v>
      </c>
      <c r="H92" s="21"/>
      <c r="I92" s="9">
        <f t="shared" si="1"/>
        <v>58.078125</v>
      </c>
      <c r="J92" s="113" t="s">
        <v>65</v>
      </c>
      <c r="K92" s="112"/>
      <c r="N92" s="14"/>
      <c r="O92" s="98"/>
      <c r="P92" s="14"/>
      <c r="Q92" s="14"/>
      <c r="R92" s="14"/>
      <c r="S92" s="8"/>
      <c r="T92" s="8"/>
      <c r="U92" s="8"/>
      <c r="V92" s="99"/>
    </row>
    <row r="93" spans="1:22" ht="19.5" customHeight="1">
      <c r="A93" s="113"/>
      <c r="B93" s="114" t="s">
        <v>179</v>
      </c>
      <c r="C93" s="113">
        <v>2</v>
      </c>
      <c r="D93" s="113"/>
      <c r="E93" s="21">
        <v>55.5</v>
      </c>
      <c r="F93" s="21">
        <v>0.75</v>
      </c>
      <c r="G93" s="21">
        <v>1</v>
      </c>
      <c r="H93" s="21"/>
      <c r="I93" s="9">
        <f t="shared" si="1"/>
        <v>83.25</v>
      </c>
      <c r="J93" s="113" t="s">
        <v>65</v>
      </c>
      <c r="K93" s="112"/>
      <c r="N93" s="14"/>
      <c r="O93" s="98"/>
      <c r="P93" s="14"/>
      <c r="Q93" s="14"/>
      <c r="R93" s="14"/>
      <c r="S93" s="8"/>
      <c r="T93" s="8"/>
      <c r="U93" s="8"/>
      <c r="V93" s="99"/>
    </row>
    <row r="94" spans="1:22" ht="19.5" customHeight="1">
      <c r="A94" s="113"/>
      <c r="B94" s="114" t="s">
        <v>181</v>
      </c>
      <c r="C94" s="113">
        <v>1</v>
      </c>
      <c r="D94" s="113"/>
      <c r="E94" s="21">
        <v>55.5</v>
      </c>
      <c r="F94" s="21">
        <v>0.75</v>
      </c>
      <c r="G94" s="21">
        <v>0.75</v>
      </c>
      <c r="H94" s="21"/>
      <c r="I94" s="9">
        <f t="shared" si="1"/>
        <v>31.21875</v>
      </c>
      <c r="J94" s="113" t="s">
        <v>65</v>
      </c>
      <c r="K94" s="112"/>
      <c r="N94" s="14"/>
      <c r="O94" s="98"/>
      <c r="P94" s="14"/>
      <c r="Q94" s="14"/>
      <c r="R94" s="14"/>
      <c r="S94" s="8"/>
      <c r="T94" s="8"/>
      <c r="U94" s="8"/>
      <c r="V94" s="99"/>
    </row>
    <row r="95" spans="1:22" ht="19.5" customHeight="1">
      <c r="A95" s="113"/>
      <c r="B95" s="114" t="s">
        <v>180</v>
      </c>
      <c r="C95" s="113">
        <v>4</v>
      </c>
      <c r="D95" s="113"/>
      <c r="E95" s="21">
        <v>22.5</v>
      </c>
      <c r="F95" s="21">
        <v>0.75</v>
      </c>
      <c r="G95" s="21">
        <v>1</v>
      </c>
      <c r="H95" s="21"/>
      <c r="I95" s="9">
        <f t="shared" si="1"/>
        <v>67.5</v>
      </c>
      <c r="J95" s="113" t="s">
        <v>65</v>
      </c>
      <c r="K95" s="112"/>
      <c r="N95" s="14"/>
      <c r="O95" s="98"/>
      <c r="P95" s="14"/>
      <c r="Q95" s="14"/>
      <c r="R95" s="14"/>
      <c r="S95" s="8"/>
      <c r="T95" s="8"/>
      <c r="U95" s="8"/>
      <c r="V95" s="99"/>
    </row>
    <row r="96" spans="1:22" ht="19.5" customHeight="1">
      <c r="A96" s="113"/>
      <c r="B96" s="193" t="s">
        <v>292</v>
      </c>
      <c r="C96" s="113">
        <v>4</v>
      </c>
      <c r="D96" s="113"/>
      <c r="E96" s="21">
        <v>5.25</v>
      </c>
      <c r="F96" s="115">
        <v>0.75</v>
      </c>
      <c r="G96" s="21">
        <v>0.75</v>
      </c>
      <c r="H96" s="21"/>
      <c r="I96" s="9">
        <f t="shared" si="1"/>
        <v>11.8125</v>
      </c>
      <c r="J96" s="113" t="s">
        <v>65</v>
      </c>
      <c r="K96" s="112"/>
      <c r="N96" s="14"/>
      <c r="O96" s="98"/>
      <c r="P96" s="14"/>
      <c r="Q96" s="14"/>
      <c r="R96" s="14"/>
      <c r="S96" s="8"/>
      <c r="T96" s="8"/>
      <c r="U96" s="8"/>
      <c r="V96" s="99"/>
    </row>
    <row r="97" spans="1:22" ht="19.5" customHeight="1">
      <c r="A97" s="113"/>
      <c r="B97" s="114" t="s">
        <v>182</v>
      </c>
      <c r="C97" s="113">
        <v>2</v>
      </c>
      <c r="D97" s="113"/>
      <c r="E97" s="21">
        <v>55.5</v>
      </c>
      <c r="F97" s="21">
        <v>0.75</v>
      </c>
      <c r="G97" s="21">
        <v>1</v>
      </c>
      <c r="H97" s="21"/>
      <c r="I97" s="9">
        <f t="shared" si="1"/>
        <v>83.25</v>
      </c>
      <c r="J97" s="113" t="s">
        <v>65</v>
      </c>
      <c r="K97" s="112"/>
      <c r="N97" s="14"/>
      <c r="O97" s="98"/>
      <c r="P97" s="14"/>
      <c r="Q97" s="14"/>
      <c r="R97" s="14"/>
      <c r="S97" s="8"/>
      <c r="T97" s="8"/>
      <c r="U97" s="8"/>
      <c r="V97" s="99"/>
    </row>
    <row r="98" spans="1:22" ht="19.5" customHeight="1">
      <c r="A98" s="113"/>
      <c r="B98" s="114" t="s">
        <v>183</v>
      </c>
      <c r="C98" s="113">
        <v>1</v>
      </c>
      <c r="D98" s="113"/>
      <c r="E98" s="21">
        <v>55.5</v>
      </c>
      <c r="F98" s="21">
        <v>0.75</v>
      </c>
      <c r="G98" s="21">
        <v>0.75</v>
      </c>
      <c r="H98" s="21"/>
      <c r="I98" s="9">
        <f t="shared" si="1"/>
        <v>31.21875</v>
      </c>
      <c r="J98" s="113" t="s">
        <v>65</v>
      </c>
      <c r="K98" s="112"/>
      <c r="N98" s="14"/>
      <c r="O98" s="98"/>
      <c r="P98" s="14"/>
      <c r="Q98" s="14"/>
      <c r="R98" s="14"/>
      <c r="S98" s="8"/>
      <c r="T98" s="8"/>
      <c r="U98" s="8"/>
      <c r="V98" s="99"/>
    </row>
    <row r="99" spans="1:22" ht="19.5" customHeight="1">
      <c r="A99" s="113"/>
      <c r="B99" s="114" t="s">
        <v>184</v>
      </c>
      <c r="C99" s="113">
        <v>4</v>
      </c>
      <c r="D99" s="113"/>
      <c r="E99" s="21">
        <v>22.5</v>
      </c>
      <c r="F99" s="21">
        <v>0.75</v>
      </c>
      <c r="G99" s="21">
        <v>1</v>
      </c>
      <c r="H99" s="21"/>
      <c r="I99" s="9">
        <f t="shared" si="1"/>
        <v>67.5</v>
      </c>
      <c r="J99" s="113" t="s">
        <v>65</v>
      </c>
      <c r="K99" s="112"/>
      <c r="N99" s="14"/>
      <c r="O99" s="98"/>
      <c r="P99" s="14"/>
      <c r="Q99" s="14"/>
      <c r="R99" s="14"/>
      <c r="S99" s="8"/>
      <c r="T99" s="8"/>
      <c r="U99" s="8"/>
      <c r="V99" s="99"/>
    </row>
    <row r="100" spans="1:22" ht="19.5" customHeight="1">
      <c r="A100" s="20"/>
      <c r="B100" s="193" t="s">
        <v>291</v>
      </c>
      <c r="C100" s="113">
        <v>4</v>
      </c>
      <c r="D100" s="113"/>
      <c r="E100" s="21">
        <v>5.25</v>
      </c>
      <c r="F100" s="115">
        <v>0.75</v>
      </c>
      <c r="G100" s="21">
        <v>0.75</v>
      </c>
      <c r="H100" s="21"/>
      <c r="I100" s="9">
        <f t="shared" si="1"/>
        <v>11.8125</v>
      </c>
      <c r="J100" s="113" t="s">
        <v>65</v>
      </c>
      <c r="K100" s="24"/>
      <c r="O100" s="47"/>
    </row>
    <row r="101" spans="1:22" ht="19.5" customHeight="1">
      <c r="A101" s="113"/>
      <c r="B101" s="114" t="s">
        <v>185</v>
      </c>
      <c r="C101" s="113">
        <v>25</v>
      </c>
      <c r="D101" s="113"/>
      <c r="E101" s="21">
        <v>9.25</v>
      </c>
      <c r="F101" s="115">
        <v>0.42</v>
      </c>
      <c r="G101" s="21">
        <v>0.25</v>
      </c>
      <c r="H101" s="21"/>
      <c r="I101" s="9">
        <f t="shared" si="1"/>
        <v>24.28125</v>
      </c>
      <c r="J101" s="113" t="s">
        <v>65</v>
      </c>
      <c r="K101" s="112"/>
      <c r="O101" s="47"/>
    </row>
    <row r="102" spans="1:22" ht="19.5" customHeight="1">
      <c r="A102" s="113"/>
      <c r="B102" s="193" t="s">
        <v>293</v>
      </c>
      <c r="C102" s="113">
        <v>4</v>
      </c>
      <c r="D102" s="113">
        <v>4</v>
      </c>
      <c r="E102" s="21">
        <v>11.25</v>
      </c>
      <c r="F102" s="115">
        <v>0.42</v>
      </c>
      <c r="G102" s="21">
        <v>0.25</v>
      </c>
      <c r="H102" s="21"/>
      <c r="I102" s="9">
        <f>C102*D102*E102*F102*G102</f>
        <v>18.899999999999999</v>
      </c>
      <c r="J102" s="113" t="s">
        <v>65</v>
      </c>
      <c r="K102" s="112"/>
      <c r="O102" s="47"/>
    </row>
    <row r="103" spans="1:22" ht="19.5" customHeight="1">
      <c r="A103" s="113"/>
      <c r="B103" s="114" t="s">
        <v>186</v>
      </c>
      <c r="C103" s="113">
        <v>2</v>
      </c>
      <c r="D103" s="113"/>
      <c r="E103" s="21">
        <v>5.25</v>
      </c>
      <c r="F103" s="115">
        <v>0.42</v>
      </c>
      <c r="G103" s="21">
        <v>0.25</v>
      </c>
      <c r="H103" s="21"/>
      <c r="I103" s="9">
        <f t="shared" si="1"/>
        <v>1.1025</v>
      </c>
      <c r="J103" s="111" t="s">
        <v>65</v>
      </c>
      <c r="K103" s="112">
        <f>I90+I91+I92+I93+I94+I95+I96+I97+I98+I99+I100+I101+I102+I103</f>
        <v>894.26812499999994</v>
      </c>
      <c r="O103" s="47"/>
    </row>
    <row r="104" spans="1:22" ht="19.5" customHeight="1">
      <c r="A104" s="113"/>
      <c r="B104" s="114"/>
      <c r="C104" s="113"/>
      <c r="D104" s="113"/>
      <c r="E104" s="21"/>
      <c r="F104" s="115"/>
      <c r="G104" s="21"/>
      <c r="H104" s="21"/>
      <c r="I104" s="9"/>
      <c r="J104" s="113"/>
      <c r="K104" s="112"/>
      <c r="O104" s="47"/>
    </row>
    <row r="105" spans="1:22" ht="19.5" customHeight="1">
      <c r="A105" s="113"/>
      <c r="B105" s="114"/>
      <c r="C105" s="113"/>
      <c r="D105" s="113"/>
      <c r="E105" s="21"/>
      <c r="F105" s="115"/>
      <c r="G105" s="21"/>
      <c r="H105" s="21"/>
      <c r="I105" s="9"/>
      <c r="J105" s="113"/>
      <c r="K105" s="112"/>
      <c r="O105" s="47"/>
    </row>
    <row r="106" spans="1:22" ht="19.5" customHeight="1">
      <c r="A106" s="20">
        <v>13</v>
      </c>
      <c r="B106" s="23" t="s">
        <v>31</v>
      </c>
      <c r="C106" s="20"/>
      <c r="D106" s="20"/>
      <c r="E106" s="21"/>
      <c r="F106" s="21"/>
      <c r="G106" s="21"/>
      <c r="H106" s="21"/>
      <c r="I106" s="9"/>
      <c r="J106" s="20"/>
      <c r="K106" s="22"/>
      <c r="O106" s="47"/>
    </row>
    <row r="107" spans="1:22" ht="19.5" customHeight="1">
      <c r="A107" s="20" t="s">
        <v>50</v>
      </c>
      <c r="B107" s="23" t="s">
        <v>32</v>
      </c>
      <c r="C107" s="20"/>
      <c r="D107" s="20"/>
      <c r="E107" s="21"/>
      <c r="F107" s="24" t="s">
        <v>74</v>
      </c>
      <c r="G107" s="24" t="s">
        <v>75</v>
      </c>
      <c r="H107" s="24" t="s">
        <v>76</v>
      </c>
      <c r="I107" s="142" t="s">
        <v>205</v>
      </c>
      <c r="J107" s="20"/>
      <c r="K107" s="22"/>
      <c r="O107" s="47"/>
    </row>
    <row r="108" spans="1:22" ht="19.5" customHeight="1">
      <c r="A108" s="20"/>
      <c r="B108" s="20" t="s">
        <v>69</v>
      </c>
      <c r="C108" s="20">
        <v>25</v>
      </c>
      <c r="D108" s="20">
        <v>14</v>
      </c>
      <c r="E108" s="21">
        <v>4</v>
      </c>
      <c r="F108" s="21">
        <f>C108*D108*E108</f>
        <v>1400</v>
      </c>
      <c r="G108" s="21"/>
      <c r="H108" s="21"/>
      <c r="I108" s="9"/>
      <c r="J108" s="20"/>
      <c r="K108" s="22"/>
      <c r="O108" s="47"/>
    </row>
    <row r="109" spans="1:22" ht="19.5" customHeight="1">
      <c r="A109" s="20" t="s">
        <v>51</v>
      </c>
      <c r="B109" s="23" t="s">
        <v>33</v>
      </c>
      <c r="C109" s="20"/>
      <c r="D109" s="20"/>
      <c r="E109" s="21"/>
      <c r="F109" s="21"/>
      <c r="G109" s="21"/>
      <c r="H109" s="21"/>
      <c r="I109" s="9"/>
      <c r="J109" s="20"/>
      <c r="K109" s="22"/>
      <c r="O109" s="47"/>
    </row>
    <row r="110" spans="1:22" ht="19.5" customHeight="1">
      <c r="A110" s="20"/>
      <c r="B110" s="20" t="s">
        <v>70</v>
      </c>
      <c r="C110" s="20">
        <v>18</v>
      </c>
      <c r="D110" s="20">
        <v>6</v>
      </c>
      <c r="E110" s="21">
        <f>1+0.5+18.625+0.5</f>
        <v>20.625</v>
      </c>
      <c r="F110" s="21">
        <f>C110*D110*E110</f>
        <v>2227.5</v>
      </c>
      <c r="G110" s="21"/>
      <c r="H110" s="21"/>
      <c r="I110" s="9"/>
      <c r="J110" s="20"/>
      <c r="K110" s="22"/>
      <c r="O110" s="47"/>
    </row>
    <row r="111" spans="1:22" ht="19.5" customHeight="1">
      <c r="A111" s="20"/>
      <c r="B111" s="20" t="s">
        <v>71</v>
      </c>
      <c r="C111" s="20">
        <v>18</v>
      </c>
      <c r="D111" s="20">
        <f>(E110-2)*2</f>
        <v>37.25</v>
      </c>
      <c r="E111" s="21">
        <v>2.5</v>
      </c>
      <c r="F111" s="21"/>
      <c r="G111" s="21"/>
      <c r="H111" s="21">
        <f>C111*D111*E111</f>
        <v>1676.25</v>
      </c>
      <c r="I111" s="9"/>
      <c r="J111" s="20"/>
      <c r="K111" s="22"/>
    </row>
    <row r="112" spans="1:22" ht="19.5" customHeight="1">
      <c r="A112" s="20" t="s">
        <v>52</v>
      </c>
      <c r="B112" s="23" t="s">
        <v>34</v>
      </c>
      <c r="C112" s="20"/>
      <c r="D112" s="20"/>
      <c r="E112" s="21"/>
      <c r="F112" s="21"/>
      <c r="G112" s="21"/>
      <c r="H112" s="21"/>
      <c r="I112" s="9"/>
      <c r="J112" s="20"/>
      <c r="K112" s="22"/>
    </row>
    <row r="113" spans="1:24" ht="19.5" customHeight="1">
      <c r="A113" s="20"/>
      <c r="B113" s="20" t="s">
        <v>70</v>
      </c>
      <c r="C113" s="20">
        <v>7</v>
      </c>
      <c r="D113" s="20">
        <v>6</v>
      </c>
      <c r="E113" s="21"/>
      <c r="F113" s="21">
        <f>C113*D113*E113</f>
        <v>0</v>
      </c>
      <c r="G113" s="21"/>
      <c r="H113" s="21"/>
      <c r="I113" s="9"/>
      <c r="J113" s="20"/>
      <c r="K113" s="22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9.5" customHeight="1">
      <c r="A114" s="20"/>
      <c r="B114" s="20" t="s">
        <v>71</v>
      </c>
      <c r="C114" s="20">
        <v>7</v>
      </c>
      <c r="D114" s="20">
        <f>(E113-2)*2</f>
        <v>-4</v>
      </c>
      <c r="E114" s="21">
        <v>2.5</v>
      </c>
      <c r="F114" s="21"/>
      <c r="G114" s="21"/>
      <c r="H114" s="21">
        <f>C114*D114*E114</f>
        <v>-70</v>
      </c>
      <c r="I114" s="9"/>
      <c r="J114" s="20"/>
      <c r="K114" s="22"/>
      <c r="N114" s="14"/>
      <c r="O114" s="14"/>
      <c r="P114" s="14"/>
      <c r="Q114" s="14"/>
      <c r="R114" s="273"/>
      <c r="S114" s="273"/>
      <c r="T114" s="273"/>
      <c r="U114" s="273"/>
      <c r="V114" s="99"/>
      <c r="W114" s="14"/>
      <c r="X114" s="42"/>
    </row>
    <row r="115" spans="1:24" ht="19.5" customHeight="1">
      <c r="A115" s="20" t="s">
        <v>53</v>
      </c>
      <c r="B115" s="130" t="s">
        <v>36</v>
      </c>
      <c r="C115" s="20"/>
      <c r="D115" s="20"/>
      <c r="E115" s="21"/>
      <c r="F115" s="21"/>
      <c r="G115" s="21"/>
      <c r="H115" s="21"/>
      <c r="I115" s="9"/>
      <c r="J115" s="20"/>
      <c r="K115" s="22"/>
      <c r="N115" s="14"/>
      <c r="O115" s="14"/>
      <c r="P115" s="14"/>
      <c r="Q115" s="14"/>
      <c r="R115" s="14"/>
      <c r="S115" s="273"/>
      <c r="T115" s="273"/>
      <c r="U115" s="273"/>
      <c r="V115" s="99"/>
      <c r="W115" s="14"/>
      <c r="X115" s="42"/>
    </row>
    <row r="116" spans="1:24" ht="19.5" customHeight="1">
      <c r="A116" s="20"/>
      <c r="B116" s="58" t="s">
        <v>197</v>
      </c>
      <c r="C116" s="20"/>
      <c r="D116" s="20"/>
      <c r="E116" s="21"/>
      <c r="F116" s="21"/>
      <c r="G116" s="21"/>
      <c r="H116" s="21"/>
      <c r="I116" s="9"/>
      <c r="J116" s="20"/>
      <c r="K116" s="22"/>
      <c r="N116" s="14"/>
      <c r="O116" s="98"/>
      <c r="P116" s="14"/>
      <c r="Q116" s="14"/>
      <c r="R116" s="14"/>
      <c r="S116" s="273"/>
      <c r="T116" s="273"/>
      <c r="U116" s="273"/>
      <c r="V116" s="99"/>
      <c r="W116" s="14"/>
      <c r="X116" s="42"/>
    </row>
    <row r="117" spans="1:24" ht="19.5" customHeight="1">
      <c r="A117" s="20"/>
      <c r="B117" s="133" t="s">
        <v>194</v>
      </c>
      <c r="C117" s="20">
        <v>2</v>
      </c>
      <c r="D117" s="20">
        <v>3</v>
      </c>
      <c r="E117" s="21">
        <f>27.5+37.5</f>
        <v>65</v>
      </c>
      <c r="F117" s="21">
        <f>C117*D117*E117</f>
        <v>390</v>
      </c>
      <c r="G117" s="21"/>
      <c r="H117" s="21"/>
      <c r="I117" s="9"/>
      <c r="J117" s="20"/>
      <c r="K117" s="22"/>
      <c r="N117" s="14"/>
      <c r="O117" s="98"/>
      <c r="P117" s="14"/>
      <c r="Q117" s="14"/>
      <c r="R117" s="14"/>
      <c r="S117" s="273"/>
      <c r="T117" s="273"/>
      <c r="U117" s="273"/>
      <c r="V117" s="99"/>
      <c r="W117" s="14"/>
      <c r="X117" s="42"/>
    </row>
    <row r="118" spans="1:24" ht="19.5" customHeight="1">
      <c r="A118" s="132"/>
      <c r="B118" s="133" t="s">
        <v>196</v>
      </c>
      <c r="C118" s="132">
        <v>2</v>
      </c>
      <c r="D118" s="132">
        <v>3</v>
      </c>
      <c r="E118" s="21">
        <f>39+25+0.6667</f>
        <v>64.666700000000006</v>
      </c>
      <c r="F118" s="21">
        <f>C118*D118*E118</f>
        <v>388.00020000000006</v>
      </c>
      <c r="G118" s="21"/>
      <c r="H118" s="21"/>
      <c r="I118" s="9"/>
      <c r="J118" s="132"/>
      <c r="K118" s="131"/>
      <c r="N118" s="14"/>
      <c r="O118" s="98"/>
      <c r="P118" s="14"/>
      <c r="Q118" s="14"/>
      <c r="R118" s="14"/>
      <c r="S118" s="273"/>
      <c r="T118" s="273"/>
      <c r="U118" s="273"/>
      <c r="V118" s="99"/>
      <c r="W118" s="14"/>
      <c r="X118" s="42"/>
    </row>
    <row r="119" spans="1:24" ht="19.5" customHeight="1">
      <c r="A119" s="20"/>
      <c r="B119" s="20" t="s">
        <v>71</v>
      </c>
      <c r="C119" s="20">
        <v>2</v>
      </c>
      <c r="D119" s="20">
        <f>((((((36/4)+1)*2)+(3*2))))*6</f>
        <v>156</v>
      </c>
      <c r="E119" s="21">
        <v>3</v>
      </c>
      <c r="F119" s="21"/>
      <c r="G119" s="21"/>
      <c r="H119" s="21">
        <f>C119*D119*E119</f>
        <v>936</v>
      </c>
      <c r="I119" s="9"/>
      <c r="J119" s="20"/>
      <c r="K119" s="22"/>
      <c r="N119" s="14"/>
      <c r="O119" s="98"/>
      <c r="P119" s="14"/>
      <c r="Q119" s="14"/>
      <c r="R119" s="14"/>
      <c r="S119" s="273"/>
      <c r="T119" s="273"/>
      <c r="U119" s="273"/>
      <c r="V119" s="99"/>
      <c r="W119" s="14"/>
      <c r="X119" s="42"/>
    </row>
    <row r="120" spans="1:24" ht="19.5" customHeight="1">
      <c r="A120" s="132"/>
      <c r="B120" s="58" t="s">
        <v>192</v>
      </c>
      <c r="C120" s="132"/>
      <c r="D120" s="132"/>
      <c r="E120" s="21"/>
      <c r="F120" s="21"/>
      <c r="G120" s="21"/>
      <c r="H120" s="21"/>
      <c r="I120" s="9"/>
      <c r="J120" s="132"/>
      <c r="K120" s="131"/>
      <c r="N120" s="14"/>
      <c r="O120" s="98"/>
      <c r="P120" s="14"/>
      <c r="Q120" s="14"/>
      <c r="R120" s="14"/>
      <c r="S120" s="273"/>
      <c r="T120" s="273"/>
      <c r="U120" s="273"/>
      <c r="V120" s="99"/>
      <c r="W120" s="14"/>
      <c r="X120" s="42"/>
    </row>
    <row r="121" spans="1:24" ht="19.5" customHeight="1">
      <c r="A121" s="132"/>
      <c r="B121" s="133" t="s">
        <v>194</v>
      </c>
      <c r="C121" s="132">
        <v>1</v>
      </c>
      <c r="D121" s="132">
        <v>3</v>
      </c>
      <c r="E121" s="21">
        <f>27.5+37.5</f>
        <v>65</v>
      </c>
      <c r="F121" s="21">
        <f>C121*D121*E121</f>
        <v>195</v>
      </c>
      <c r="G121" s="21"/>
      <c r="H121" s="21"/>
      <c r="I121" s="9"/>
      <c r="J121" s="132"/>
      <c r="K121" s="131"/>
      <c r="N121" s="14"/>
      <c r="O121" s="98"/>
      <c r="P121" s="14"/>
      <c r="Q121" s="14"/>
      <c r="R121" s="14"/>
      <c r="S121" s="273"/>
      <c r="T121" s="273"/>
      <c r="U121" s="273"/>
      <c r="V121" s="99"/>
      <c r="W121" s="14"/>
      <c r="X121" s="42"/>
    </row>
    <row r="122" spans="1:24" ht="19.5" customHeight="1">
      <c r="A122" s="132"/>
      <c r="B122" s="133" t="s">
        <v>196</v>
      </c>
      <c r="C122" s="132">
        <v>1</v>
      </c>
      <c r="D122" s="132">
        <v>3</v>
      </c>
      <c r="E122" s="21">
        <f>39+25+0.6667</f>
        <v>64.666700000000006</v>
      </c>
      <c r="F122" s="21">
        <f>C122*D122*E122</f>
        <v>194.00010000000003</v>
      </c>
      <c r="G122" s="21"/>
      <c r="H122" s="21"/>
      <c r="I122" s="9"/>
      <c r="J122" s="132"/>
      <c r="K122" s="131"/>
      <c r="N122" s="14"/>
      <c r="O122" s="98"/>
      <c r="P122" s="14"/>
      <c r="Q122" s="14"/>
      <c r="R122" s="14"/>
      <c r="S122" s="273"/>
      <c r="T122" s="273"/>
      <c r="U122" s="273"/>
      <c r="V122" s="99"/>
      <c r="W122" s="14"/>
      <c r="X122" s="42"/>
    </row>
    <row r="123" spans="1:24" ht="19.5" customHeight="1">
      <c r="A123" s="132"/>
      <c r="B123" s="132" t="s">
        <v>71</v>
      </c>
      <c r="C123" s="132">
        <v>1</v>
      </c>
      <c r="D123" s="132">
        <f>D119</f>
        <v>156</v>
      </c>
      <c r="E123" s="21">
        <v>2.5</v>
      </c>
      <c r="F123" s="21"/>
      <c r="G123" s="21"/>
      <c r="H123" s="21">
        <f>C123*D123*E123</f>
        <v>390</v>
      </c>
      <c r="I123" s="9"/>
      <c r="J123" s="132"/>
      <c r="K123" s="131"/>
      <c r="N123" s="14"/>
      <c r="O123" s="98"/>
      <c r="P123" s="14"/>
      <c r="Q123" s="14"/>
      <c r="R123" s="14"/>
      <c r="S123" s="273"/>
      <c r="T123" s="273"/>
      <c r="U123" s="273"/>
      <c r="V123" s="99"/>
      <c r="W123" s="14"/>
      <c r="X123" s="42"/>
    </row>
    <row r="124" spans="1:24" ht="19.5" customHeight="1">
      <c r="A124" s="20"/>
      <c r="B124" s="58" t="s">
        <v>193</v>
      </c>
      <c r="C124" s="20"/>
      <c r="D124" s="20"/>
      <c r="E124" s="21"/>
      <c r="F124" s="21"/>
      <c r="G124" s="21"/>
      <c r="H124" s="21"/>
      <c r="I124" s="9"/>
      <c r="J124" s="20"/>
      <c r="K124" s="22"/>
      <c r="N124" s="14"/>
      <c r="O124" s="98"/>
      <c r="P124" s="14"/>
      <c r="Q124" s="14"/>
      <c r="R124" s="14"/>
      <c r="S124" s="273"/>
      <c r="T124" s="273"/>
      <c r="U124" s="273"/>
      <c r="V124" s="99"/>
      <c r="W124" s="42"/>
      <c r="X124" s="41"/>
    </row>
    <row r="125" spans="1:24" ht="19.5" customHeight="1">
      <c r="A125" s="20"/>
      <c r="B125" s="253" t="s">
        <v>194</v>
      </c>
      <c r="C125" s="20">
        <v>4</v>
      </c>
      <c r="D125" s="20">
        <v>3</v>
      </c>
      <c r="E125" s="21">
        <f>25.75</f>
        <v>25.75</v>
      </c>
      <c r="F125" s="21">
        <f>C125*D125*E125</f>
        <v>309</v>
      </c>
      <c r="G125" s="21"/>
      <c r="H125" s="21"/>
      <c r="I125" s="9"/>
      <c r="J125" s="20"/>
      <c r="K125" s="22"/>
      <c r="O125" s="47"/>
    </row>
    <row r="126" spans="1:24" ht="19.5" customHeight="1">
      <c r="A126" s="132"/>
      <c r="B126" s="133" t="s">
        <v>196</v>
      </c>
      <c r="C126" s="132">
        <v>4</v>
      </c>
      <c r="D126" s="132">
        <v>3</v>
      </c>
      <c r="E126" s="21">
        <v>28.75</v>
      </c>
      <c r="F126" s="21">
        <f>C126*D126*E126</f>
        <v>345</v>
      </c>
      <c r="G126" s="21"/>
      <c r="H126" s="21"/>
      <c r="I126" s="9"/>
      <c r="J126" s="132"/>
      <c r="K126" s="131"/>
      <c r="O126" s="47"/>
    </row>
    <row r="127" spans="1:24" ht="19.5" customHeight="1">
      <c r="A127" s="20"/>
      <c r="B127" s="133" t="s">
        <v>195</v>
      </c>
      <c r="C127" s="20">
        <v>4</v>
      </c>
      <c r="D127" s="20">
        <f>((((36/4)+1)*2)+(5*2))*2</f>
        <v>60</v>
      </c>
      <c r="E127" s="21">
        <v>3</v>
      </c>
      <c r="F127" s="21"/>
      <c r="G127" s="21"/>
      <c r="H127" s="21">
        <f>C127*D127*E127</f>
        <v>720</v>
      </c>
      <c r="I127" s="9"/>
      <c r="J127" s="20"/>
      <c r="K127" s="22"/>
      <c r="O127" s="47"/>
    </row>
    <row r="128" spans="1:24" ht="19.5" customHeight="1">
      <c r="A128" s="132"/>
      <c r="B128" s="58" t="s">
        <v>198</v>
      </c>
      <c r="C128" s="132"/>
      <c r="D128" s="132"/>
      <c r="E128" s="21"/>
      <c r="F128" s="21"/>
      <c r="G128" s="21"/>
      <c r="H128" s="21"/>
      <c r="I128" s="9"/>
      <c r="J128" s="132"/>
      <c r="K128" s="131"/>
      <c r="O128" s="47"/>
    </row>
    <row r="129" spans="1:20" ht="19.5" customHeight="1">
      <c r="A129" s="132"/>
      <c r="B129" s="133" t="s">
        <v>194</v>
      </c>
      <c r="C129" s="132">
        <v>4</v>
      </c>
      <c r="D129" s="132">
        <v>3</v>
      </c>
      <c r="E129" s="21">
        <v>11.16667</v>
      </c>
      <c r="F129" s="21">
        <f>C129*D129*E129</f>
        <v>134.00004000000001</v>
      </c>
      <c r="G129" s="21"/>
      <c r="H129" s="21"/>
      <c r="I129" s="9"/>
      <c r="J129" s="132"/>
      <c r="K129" s="131"/>
      <c r="O129" s="47"/>
    </row>
    <row r="130" spans="1:20" ht="19.5" customHeight="1">
      <c r="A130" s="132"/>
      <c r="B130" s="133" t="s">
        <v>196</v>
      </c>
      <c r="C130" s="132">
        <v>4</v>
      </c>
      <c r="D130" s="132">
        <v>3</v>
      </c>
      <c r="E130" s="21">
        <v>7.4166667000000004</v>
      </c>
      <c r="F130" s="21">
        <f>C130*D130*E130</f>
        <v>89.000000400000005</v>
      </c>
      <c r="G130" s="21"/>
      <c r="H130" s="21"/>
      <c r="I130" s="9"/>
      <c r="J130" s="132"/>
      <c r="K130" s="131"/>
      <c r="O130" s="47"/>
    </row>
    <row r="131" spans="1:20" ht="19.5" customHeight="1">
      <c r="A131" s="20"/>
      <c r="B131" s="133" t="s">
        <v>195</v>
      </c>
      <c r="C131" s="20">
        <v>4</v>
      </c>
      <c r="D131" s="20">
        <f>((6-0.75)/0.5)+1</f>
        <v>11.5</v>
      </c>
      <c r="E131" s="21">
        <v>2.5</v>
      </c>
      <c r="F131" s="21"/>
      <c r="G131" s="21"/>
      <c r="H131" s="21">
        <f>C131*D131*E131</f>
        <v>115</v>
      </c>
      <c r="I131" s="9"/>
      <c r="J131" s="20"/>
      <c r="K131" s="22"/>
      <c r="O131" s="47"/>
    </row>
    <row r="132" spans="1:20" ht="19.5" customHeight="1">
      <c r="A132" s="20" t="s">
        <v>54</v>
      </c>
      <c r="B132" s="23" t="s">
        <v>37</v>
      </c>
      <c r="C132" s="20"/>
      <c r="D132" s="20"/>
      <c r="E132" s="21"/>
      <c r="F132" s="21"/>
      <c r="G132" s="21"/>
      <c r="H132" s="21"/>
      <c r="I132" s="9"/>
      <c r="J132" s="20"/>
      <c r="K132" s="22"/>
      <c r="O132" s="47"/>
    </row>
    <row r="133" spans="1:20" ht="19.5" customHeight="1">
      <c r="A133" s="132"/>
      <c r="B133" s="58" t="s">
        <v>197</v>
      </c>
      <c r="C133" s="132"/>
      <c r="D133" s="132"/>
      <c r="E133" s="21"/>
      <c r="F133" s="21"/>
      <c r="G133" s="21"/>
      <c r="H133" s="21"/>
      <c r="I133" s="9"/>
      <c r="J133" s="132"/>
      <c r="K133" s="131"/>
      <c r="O133" s="47"/>
    </row>
    <row r="134" spans="1:20" ht="19.5" customHeight="1">
      <c r="A134" s="132"/>
      <c r="B134" s="133" t="s">
        <v>194</v>
      </c>
      <c r="C134" s="132">
        <v>2</v>
      </c>
      <c r="D134" s="132">
        <v>3</v>
      </c>
      <c r="E134" s="21">
        <f>27.5+37.5</f>
        <v>65</v>
      </c>
      <c r="F134" s="21">
        <f>C134*D134*E134</f>
        <v>390</v>
      </c>
      <c r="G134" s="21"/>
      <c r="H134" s="21"/>
      <c r="I134" s="9"/>
      <c r="J134" s="132"/>
      <c r="K134" s="131"/>
      <c r="O134" s="47"/>
    </row>
    <row r="135" spans="1:20" ht="19.5" customHeight="1">
      <c r="A135" s="132"/>
      <c r="B135" s="133" t="s">
        <v>196</v>
      </c>
      <c r="C135" s="132">
        <v>2</v>
      </c>
      <c r="D135" s="132">
        <v>3</v>
      </c>
      <c r="E135" s="21">
        <f>39+25+0.6667</f>
        <v>64.666700000000006</v>
      </c>
      <c r="F135" s="21">
        <f>C135*D135*E135</f>
        <v>388.00020000000006</v>
      </c>
      <c r="G135" s="21"/>
      <c r="H135" s="21"/>
      <c r="I135" s="9"/>
      <c r="J135" s="132"/>
      <c r="K135" s="131"/>
      <c r="O135" s="47"/>
    </row>
    <row r="136" spans="1:20" ht="19.5" customHeight="1">
      <c r="A136" s="132"/>
      <c r="B136" s="132" t="s">
        <v>71</v>
      </c>
      <c r="C136" s="132">
        <v>2</v>
      </c>
      <c r="D136" s="132">
        <f>D119</f>
        <v>156</v>
      </c>
      <c r="E136" s="21">
        <v>3</v>
      </c>
      <c r="F136" s="21"/>
      <c r="G136" s="21"/>
      <c r="H136" s="21">
        <f>C136*D136*E136</f>
        <v>936</v>
      </c>
      <c r="I136" s="9"/>
      <c r="J136" s="132"/>
      <c r="K136" s="131"/>
      <c r="O136" s="47"/>
    </row>
    <row r="137" spans="1:20" ht="19.5" customHeight="1">
      <c r="A137" s="132"/>
      <c r="B137" s="58" t="s">
        <v>192</v>
      </c>
      <c r="C137" s="132"/>
      <c r="D137" s="132"/>
      <c r="E137" s="21"/>
      <c r="F137" s="21"/>
      <c r="G137" s="21"/>
      <c r="H137" s="21"/>
      <c r="I137" s="9"/>
      <c r="J137" s="132"/>
      <c r="K137" s="131"/>
      <c r="O137" s="47"/>
    </row>
    <row r="138" spans="1:20" ht="19.5" customHeight="1">
      <c r="A138" s="132"/>
      <c r="B138" s="133" t="s">
        <v>194</v>
      </c>
      <c r="C138" s="132">
        <v>1</v>
      </c>
      <c r="D138" s="132">
        <v>3</v>
      </c>
      <c r="E138" s="21">
        <f>27.5+37.5</f>
        <v>65</v>
      </c>
      <c r="F138" s="21">
        <f>C138*D138*E138</f>
        <v>195</v>
      </c>
      <c r="G138" s="21"/>
      <c r="H138" s="21"/>
      <c r="I138" s="9"/>
      <c r="J138" s="132"/>
      <c r="K138" s="131"/>
      <c r="O138" s="47"/>
    </row>
    <row r="139" spans="1:20" ht="19.5" customHeight="1">
      <c r="A139" s="132"/>
      <c r="B139" s="133" t="s">
        <v>196</v>
      </c>
      <c r="C139" s="132">
        <v>1</v>
      </c>
      <c r="D139" s="132">
        <v>3</v>
      </c>
      <c r="E139" s="21">
        <f>39+25+0.6667</f>
        <v>64.666700000000006</v>
      </c>
      <c r="F139" s="21">
        <f>C139*D139*E139</f>
        <v>194.00010000000003</v>
      </c>
      <c r="G139" s="21"/>
      <c r="H139" s="21"/>
      <c r="I139" s="9"/>
      <c r="J139" s="132"/>
      <c r="K139" s="131"/>
      <c r="O139" s="47"/>
    </row>
    <row r="140" spans="1:20" ht="19.5" customHeight="1">
      <c r="A140" s="132"/>
      <c r="B140" s="132" t="s">
        <v>71</v>
      </c>
      <c r="C140" s="132">
        <v>1</v>
      </c>
      <c r="D140" s="132">
        <f>D119</f>
        <v>156</v>
      </c>
      <c r="E140" s="21">
        <v>2.5</v>
      </c>
      <c r="F140" s="21"/>
      <c r="G140" s="21"/>
      <c r="H140" s="21">
        <f>C140*D140*E140</f>
        <v>390</v>
      </c>
      <c r="I140" s="9"/>
      <c r="J140" s="132"/>
      <c r="K140" s="131"/>
      <c r="O140" s="47"/>
    </row>
    <row r="141" spans="1:20" ht="19.5" customHeight="1">
      <c r="A141" s="132"/>
      <c r="B141" s="58" t="s">
        <v>193</v>
      </c>
      <c r="C141" s="132"/>
      <c r="D141" s="132"/>
      <c r="E141" s="21"/>
      <c r="F141" s="21"/>
      <c r="G141" s="21"/>
      <c r="H141" s="21"/>
      <c r="I141" s="9"/>
      <c r="J141" s="132"/>
      <c r="K141" s="131"/>
      <c r="O141" s="47"/>
    </row>
    <row r="142" spans="1:20" ht="19.5" customHeight="1">
      <c r="A142" s="132"/>
      <c r="B142" s="133" t="s">
        <v>194</v>
      </c>
      <c r="C142" s="132">
        <v>4</v>
      </c>
      <c r="D142" s="132">
        <v>3</v>
      </c>
      <c r="E142" s="21">
        <f>25.75</f>
        <v>25.75</v>
      </c>
      <c r="F142" s="21">
        <f>C142*D142*E142</f>
        <v>309</v>
      </c>
      <c r="G142" s="21"/>
      <c r="H142" s="21"/>
      <c r="I142" s="9"/>
      <c r="J142" s="132"/>
      <c r="K142" s="131"/>
      <c r="O142" s="47"/>
    </row>
    <row r="143" spans="1:20" ht="19.5" customHeight="1">
      <c r="A143" s="20"/>
      <c r="B143" s="133" t="s">
        <v>196</v>
      </c>
      <c r="C143" s="132">
        <v>4</v>
      </c>
      <c r="D143" s="132">
        <v>3</v>
      </c>
      <c r="E143" s="21">
        <v>25.416667</v>
      </c>
      <c r="F143" s="21">
        <f>C143*D143*E143</f>
        <v>305.00000399999999</v>
      </c>
      <c r="G143" s="21"/>
      <c r="H143" s="21"/>
      <c r="I143" s="9"/>
      <c r="J143" s="20"/>
      <c r="K143" s="22"/>
      <c r="O143" s="47"/>
      <c r="T143" s="47"/>
    </row>
    <row r="144" spans="1:20" ht="19.5" customHeight="1">
      <c r="A144" s="20"/>
      <c r="B144" s="133" t="s">
        <v>195</v>
      </c>
      <c r="C144" s="132">
        <v>4</v>
      </c>
      <c r="D144" s="132">
        <f>D127</f>
        <v>60</v>
      </c>
      <c r="E144" s="21">
        <v>3</v>
      </c>
      <c r="F144" s="21"/>
      <c r="G144" s="21"/>
      <c r="H144" s="21">
        <f>C144*D144*E144</f>
        <v>720</v>
      </c>
      <c r="I144" s="9"/>
      <c r="J144" s="20"/>
      <c r="K144" s="22"/>
    </row>
    <row r="145" spans="1:16" ht="19.5" customHeight="1">
      <c r="A145" s="20"/>
      <c r="B145" s="58" t="s">
        <v>198</v>
      </c>
      <c r="C145" s="132"/>
      <c r="D145" s="132"/>
      <c r="E145" s="21"/>
      <c r="F145" s="21"/>
      <c r="G145" s="21"/>
      <c r="H145" s="21"/>
      <c r="I145" s="9"/>
      <c r="J145" s="20"/>
      <c r="K145" s="22"/>
    </row>
    <row r="146" spans="1:16" ht="19.5" customHeight="1">
      <c r="A146" s="20"/>
      <c r="B146" s="133" t="s">
        <v>194</v>
      </c>
      <c r="C146" s="132">
        <v>4</v>
      </c>
      <c r="D146" s="132">
        <v>3</v>
      </c>
      <c r="E146" s="21">
        <v>6.9166670000000003</v>
      </c>
      <c r="F146" s="21">
        <f>C146*D146*E146</f>
        <v>83.000004000000004</v>
      </c>
      <c r="G146" s="21"/>
      <c r="H146" s="21"/>
      <c r="I146" s="9"/>
      <c r="J146" s="20"/>
      <c r="K146" s="22"/>
    </row>
    <row r="147" spans="1:16" ht="19.5" customHeight="1">
      <c r="A147" s="20"/>
      <c r="B147" s="133" t="s">
        <v>196</v>
      </c>
      <c r="C147" s="132">
        <v>4</v>
      </c>
      <c r="D147" s="132">
        <v>3</v>
      </c>
      <c r="E147" s="21">
        <v>7.4166670000000003</v>
      </c>
      <c r="F147" s="21">
        <f>C147*D147*E147</f>
        <v>89.000004000000004</v>
      </c>
      <c r="G147" s="21"/>
      <c r="H147" s="21"/>
      <c r="I147" s="9"/>
      <c r="J147" s="20"/>
      <c r="K147" s="22"/>
    </row>
    <row r="148" spans="1:16" ht="19.5" customHeight="1">
      <c r="A148" s="20"/>
      <c r="B148" s="133" t="s">
        <v>195</v>
      </c>
      <c r="C148" s="132">
        <v>4</v>
      </c>
      <c r="D148" s="132">
        <f>D131</f>
        <v>11.5</v>
      </c>
      <c r="E148" s="21">
        <v>2.5</v>
      </c>
      <c r="F148" s="21"/>
      <c r="G148" s="21"/>
      <c r="H148" s="21">
        <f>C148*D148*E148</f>
        <v>115</v>
      </c>
      <c r="I148" s="9"/>
      <c r="J148" s="20"/>
      <c r="K148" s="22"/>
    </row>
    <row r="149" spans="1:16" ht="19.5" customHeight="1">
      <c r="A149" s="20" t="s">
        <v>55</v>
      </c>
      <c r="B149" s="23" t="s">
        <v>38</v>
      </c>
      <c r="C149" s="20"/>
      <c r="D149" s="20"/>
      <c r="E149" s="21"/>
      <c r="F149" s="21"/>
      <c r="G149" s="21"/>
      <c r="H149" s="21"/>
      <c r="I149" s="9"/>
      <c r="J149" s="20"/>
      <c r="K149" s="22"/>
    </row>
    <row r="150" spans="1:16" ht="19.5" customHeight="1">
      <c r="A150" s="132"/>
      <c r="B150" s="58" t="s">
        <v>201</v>
      </c>
      <c r="C150" s="132"/>
      <c r="D150" s="132"/>
      <c r="E150" s="21"/>
      <c r="F150" s="21"/>
      <c r="G150" s="21"/>
      <c r="H150" s="21"/>
      <c r="I150" s="9"/>
      <c r="J150" s="132"/>
      <c r="K150" s="131"/>
    </row>
    <row r="151" spans="1:16" ht="19.5" customHeight="1">
      <c r="A151" s="20"/>
      <c r="B151" s="146" t="s">
        <v>199</v>
      </c>
      <c r="C151" s="20">
        <v>1</v>
      </c>
      <c r="D151" s="20">
        <v>16</v>
      </c>
      <c r="E151" s="21">
        <v>11.16667</v>
      </c>
      <c r="F151" s="21"/>
      <c r="G151" s="21">
        <f>C151*D151*E151</f>
        <v>178.66672</v>
      </c>
      <c r="H151" s="21"/>
      <c r="I151" s="9"/>
      <c r="J151" s="20"/>
      <c r="K151" s="22"/>
    </row>
    <row r="152" spans="1:16" ht="19.5" customHeight="1">
      <c r="A152" s="144"/>
      <c r="B152" s="146" t="s">
        <v>204</v>
      </c>
      <c r="C152" s="144">
        <v>1</v>
      </c>
      <c r="D152" s="144">
        <f>24*8</f>
        <v>192</v>
      </c>
      <c r="E152" s="21">
        <v>0.5</v>
      </c>
      <c r="F152" s="21"/>
      <c r="G152" s="21"/>
      <c r="H152" s="21"/>
      <c r="I152" s="9">
        <f>C152*D152*E152</f>
        <v>96</v>
      </c>
      <c r="J152" s="144"/>
      <c r="K152" s="143"/>
    </row>
    <row r="153" spans="1:16" ht="19.5" customHeight="1">
      <c r="A153" s="20"/>
      <c r="B153" s="133" t="s">
        <v>200</v>
      </c>
      <c r="C153" s="20">
        <v>1</v>
      </c>
      <c r="D153" s="20">
        <f>D151</f>
        <v>16</v>
      </c>
      <c r="E153" s="21">
        <v>11.16667</v>
      </c>
      <c r="F153" s="21"/>
      <c r="G153" s="21">
        <f>C153*D153*E153</f>
        <v>178.66672</v>
      </c>
      <c r="H153" s="21"/>
      <c r="I153" s="9"/>
      <c r="J153" s="20"/>
      <c r="K153" s="22"/>
    </row>
    <row r="154" spans="1:16" ht="19.5" customHeight="1">
      <c r="A154" s="144"/>
      <c r="B154" s="146" t="s">
        <v>204</v>
      </c>
      <c r="C154" s="144">
        <v>1</v>
      </c>
      <c r="D154" s="144">
        <f>D152</f>
        <v>192</v>
      </c>
      <c r="E154" s="21">
        <v>0.5</v>
      </c>
      <c r="F154" s="21"/>
      <c r="G154" s="21"/>
      <c r="H154" s="21"/>
      <c r="I154" s="9">
        <f>C154*D154*E154</f>
        <v>96</v>
      </c>
      <c r="J154" s="144"/>
      <c r="K154" s="143"/>
    </row>
    <row r="155" spans="1:16" ht="19.5" customHeight="1">
      <c r="A155" s="144"/>
      <c r="B155" s="58" t="s">
        <v>202</v>
      </c>
      <c r="C155" s="144"/>
      <c r="D155" s="144"/>
      <c r="E155" s="21"/>
      <c r="F155" s="21"/>
      <c r="G155" s="21"/>
      <c r="H155" s="21"/>
      <c r="I155" s="9"/>
      <c r="J155" s="144"/>
      <c r="K155" s="143"/>
    </row>
    <row r="156" spans="1:16" ht="19.5" customHeight="1">
      <c r="A156" s="144"/>
      <c r="B156" s="157" t="s">
        <v>199</v>
      </c>
      <c r="C156" s="144">
        <v>1</v>
      </c>
      <c r="D156" s="166">
        <f>12*2</f>
        <v>24</v>
      </c>
      <c r="E156" s="21">
        <v>9.1666699999999999</v>
      </c>
      <c r="F156" s="21"/>
      <c r="G156" s="21">
        <f>C156*D156*E156</f>
        <v>220.00008</v>
      </c>
      <c r="H156" s="21"/>
      <c r="I156" s="9"/>
      <c r="J156" s="144"/>
      <c r="K156" s="143"/>
    </row>
    <row r="157" spans="1:16" ht="19.5" customHeight="1">
      <c r="A157" s="144"/>
      <c r="B157" s="146" t="s">
        <v>204</v>
      </c>
      <c r="C157" s="144">
        <v>1</v>
      </c>
      <c r="D157" s="144">
        <f>20*12</f>
        <v>240</v>
      </c>
      <c r="E157" s="21">
        <v>0.5</v>
      </c>
      <c r="F157" s="21"/>
      <c r="G157" s="21"/>
      <c r="H157" s="21"/>
      <c r="I157" s="9">
        <f>C157*D157*E157</f>
        <v>120</v>
      </c>
      <c r="J157" s="144"/>
      <c r="K157" s="143"/>
    </row>
    <row r="158" spans="1:16" ht="19.5" customHeight="1">
      <c r="A158" s="144"/>
      <c r="B158" s="146" t="s">
        <v>200</v>
      </c>
      <c r="C158" s="144">
        <v>1</v>
      </c>
      <c r="D158" s="144">
        <f>9*2</f>
        <v>18</v>
      </c>
      <c r="E158" s="21">
        <v>9.1666699999999999</v>
      </c>
      <c r="F158" s="21"/>
      <c r="G158" s="21">
        <f>C158*D158*E158</f>
        <v>165.00005999999999</v>
      </c>
      <c r="H158" s="21"/>
      <c r="I158" s="9"/>
      <c r="J158" s="144"/>
      <c r="K158" s="143"/>
      <c r="M158" s="273"/>
      <c r="N158" s="273"/>
      <c r="O158" s="273"/>
      <c r="P158" s="273"/>
    </row>
    <row r="159" spans="1:16" ht="19.5" customHeight="1">
      <c r="A159" s="144"/>
      <c r="B159" s="146" t="s">
        <v>204</v>
      </c>
      <c r="C159" s="144">
        <v>1</v>
      </c>
      <c r="D159" s="144">
        <f>20*9</f>
        <v>180</v>
      </c>
      <c r="E159" s="21">
        <v>0.5</v>
      </c>
      <c r="F159" s="21"/>
      <c r="G159" s="21"/>
      <c r="H159" s="21"/>
      <c r="I159" s="9">
        <f>C159*D159*E159</f>
        <v>90</v>
      </c>
      <c r="J159" s="144"/>
      <c r="K159" s="143"/>
      <c r="M159" s="273"/>
      <c r="N159" s="273"/>
      <c r="O159" s="273"/>
      <c r="P159" s="273"/>
    </row>
    <row r="160" spans="1:16" ht="19.5" customHeight="1">
      <c r="A160" s="144"/>
      <c r="B160" s="58" t="s">
        <v>203</v>
      </c>
      <c r="C160" s="144"/>
      <c r="D160" s="144"/>
      <c r="E160" s="21"/>
      <c r="F160" s="21"/>
      <c r="G160" s="21"/>
      <c r="H160" s="21"/>
      <c r="I160" s="9"/>
      <c r="J160" s="144"/>
      <c r="K160" s="143"/>
      <c r="M160" s="41"/>
      <c r="N160" s="41"/>
      <c r="O160" s="41"/>
      <c r="P160" s="41"/>
    </row>
    <row r="161" spans="1:16" ht="19.5" customHeight="1">
      <c r="A161" s="165"/>
      <c r="B161" s="170" t="s">
        <v>257</v>
      </c>
      <c r="C161" s="165">
        <v>1</v>
      </c>
      <c r="D161" s="165">
        <v>8</v>
      </c>
      <c r="E161" s="21">
        <v>9.17</v>
      </c>
      <c r="F161" s="21"/>
      <c r="G161" s="21">
        <f>C161*D161*E161</f>
        <v>73.36</v>
      </c>
      <c r="H161" s="21"/>
      <c r="I161" s="9"/>
      <c r="J161" s="165"/>
      <c r="K161" s="164"/>
      <c r="M161" s="41"/>
      <c r="N161" s="41"/>
      <c r="O161" s="41"/>
      <c r="P161" s="41"/>
    </row>
    <row r="162" spans="1:16" ht="19.5" customHeight="1">
      <c r="A162" s="169"/>
      <c r="B162" s="170" t="s">
        <v>204</v>
      </c>
      <c r="C162" s="169">
        <v>1</v>
      </c>
      <c r="D162" s="169">
        <f>20*4</f>
        <v>80</v>
      </c>
      <c r="E162" s="21">
        <v>0.33</v>
      </c>
      <c r="F162" s="21"/>
      <c r="G162" s="21"/>
      <c r="H162" s="21"/>
      <c r="I162" s="9">
        <f>C162*D162*E162</f>
        <v>26.400000000000002</v>
      </c>
      <c r="J162" s="169"/>
      <c r="K162" s="168"/>
      <c r="M162" s="41"/>
      <c r="N162" s="41"/>
      <c r="O162" s="41"/>
      <c r="P162" s="41"/>
    </row>
    <row r="163" spans="1:16" ht="19.5" customHeight="1">
      <c r="A163" s="169"/>
      <c r="B163" s="170" t="s">
        <v>256</v>
      </c>
      <c r="C163" s="169">
        <v>1</v>
      </c>
      <c r="D163" s="170">
        <f>2*2</f>
        <v>4</v>
      </c>
      <c r="E163" s="21">
        <v>5.17</v>
      </c>
      <c r="F163" s="21"/>
      <c r="G163" s="21">
        <f>C163*D163*E163</f>
        <v>20.68</v>
      </c>
      <c r="H163" s="21"/>
      <c r="I163" s="9"/>
      <c r="J163" s="169"/>
      <c r="K163" s="168"/>
      <c r="M163" s="41"/>
      <c r="N163" s="41"/>
      <c r="O163" s="41"/>
      <c r="P163" s="41"/>
    </row>
    <row r="164" spans="1:16" ht="19.5" customHeight="1" thickBot="1">
      <c r="A164" s="144"/>
      <c r="B164" s="146" t="s">
        <v>204</v>
      </c>
      <c r="C164" s="144">
        <v>1</v>
      </c>
      <c r="D164" s="144">
        <f>11*2</f>
        <v>22</v>
      </c>
      <c r="E164" s="21">
        <v>0.5</v>
      </c>
      <c r="F164" s="21"/>
      <c r="G164" s="21"/>
      <c r="H164" s="21"/>
      <c r="I164" s="9">
        <f>C164*D164*E164</f>
        <v>11</v>
      </c>
      <c r="J164" s="144"/>
      <c r="K164" s="143"/>
      <c r="M164" s="14"/>
      <c r="N164" s="14"/>
      <c r="O164" s="14"/>
      <c r="P164" s="14"/>
    </row>
    <row r="165" spans="1:16" ht="19.5" customHeight="1" thickTop="1" thickBot="1">
      <c r="A165" s="20"/>
      <c r="B165" s="20"/>
      <c r="C165" s="20"/>
      <c r="D165" s="20"/>
      <c r="E165" s="21"/>
      <c r="F165" s="28">
        <f>SUM(F108:F153)</f>
        <v>7624.5006524000019</v>
      </c>
      <c r="G165" s="28">
        <f>SUM(G108:G164)</f>
        <v>836.37357999999995</v>
      </c>
      <c r="H165" s="28">
        <f>SUM(H108:H164)</f>
        <v>5928.25</v>
      </c>
      <c r="I165" s="152">
        <f>SUM(I108:I164)</f>
        <v>439.4</v>
      </c>
      <c r="J165" s="22" t="s">
        <v>56</v>
      </c>
      <c r="K165" s="22"/>
      <c r="M165" s="14"/>
      <c r="N165" s="14"/>
      <c r="O165" s="14"/>
      <c r="P165" s="14"/>
    </row>
    <row r="166" spans="1:16" ht="19.5" customHeight="1" thickTop="1" thickBot="1">
      <c r="A166" s="20"/>
      <c r="B166" s="20"/>
      <c r="C166" s="20"/>
      <c r="D166" s="20"/>
      <c r="E166" s="21"/>
      <c r="F166" s="175" t="s">
        <v>258</v>
      </c>
      <c r="G166" s="175" t="s">
        <v>259</v>
      </c>
      <c r="H166" s="175" t="s">
        <v>260</v>
      </c>
      <c r="I166" s="175" t="s">
        <v>261</v>
      </c>
      <c r="J166" s="20"/>
      <c r="K166" s="22"/>
      <c r="M166" s="14"/>
      <c r="N166" s="14"/>
      <c r="O166" s="14"/>
      <c r="P166" s="14"/>
    </row>
    <row r="167" spans="1:16" ht="19.5" customHeight="1" thickTop="1" thickBot="1">
      <c r="A167" s="20"/>
      <c r="B167" s="20"/>
      <c r="C167" s="20"/>
      <c r="D167" s="20"/>
      <c r="E167" s="21"/>
      <c r="F167" s="29">
        <f>2.67*(16/25.4)^2</f>
        <v>1.0594581189162378</v>
      </c>
      <c r="G167" s="29">
        <f>2.67*(12/25.4)^2</f>
        <v>0.59594519189038386</v>
      </c>
      <c r="H167" s="29">
        <f>2.67*(8/25.4)^2</f>
        <v>0.26486452972905944</v>
      </c>
      <c r="I167" s="29">
        <f>2.67*(6/25.4)^2</f>
        <v>0.14898629797259597</v>
      </c>
      <c r="J167" s="20"/>
      <c r="K167" s="22"/>
      <c r="M167" s="273"/>
      <c r="N167" s="273"/>
      <c r="O167" s="273"/>
      <c r="P167" s="273"/>
    </row>
    <row r="168" spans="1:16" ht="19.5" customHeight="1" thickTop="1">
      <c r="A168" s="20"/>
      <c r="B168" s="20"/>
      <c r="C168" s="20"/>
      <c r="D168" s="20"/>
      <c r="E168" s="21"/>
      <c r="F168" s="152">
        <f>F165*F167</f>
        <v>8077.8391188673331</v>
      </c>
      <c r="G168" s="152">
        <f>G165*G167</f>
        <v>498.43281362514728</v>
      </c>
      <c r="H168" s="152">
        <f>H165*H167</f>
        <v>1570.1831483662966</v>
      </c>
      <c r="I168" s="152">
        <f>I165*I167</f>
        <v>65.464579329158667</v>
      </c>
      <c r="J168" s="168" t="s">
        <v>102</v>
      </c>
      <c r="K168" s="208">
        <f>F168+G168+H168+I168</f>
        <v>10211.919660187936</v>
      </c>
      <c r="M168" s="273"/>
      <c r="N168" s="273"/>
      <c r="O168" s="273"/>
      <c r="P168" s="273"/>
    </row>
    <row r="169" spans="1:16" ht="19.5" customHeight="1">
      <c r="A169" s="20"/>
      <c r="B169" s="20"/>
      <c r="C169" s="20"/>
      <c r="D169" s="20"/>
      <c r="E169" s="21"/>
      <c r="F169" s="167"/>
      <c r="G169" s="167"/>
      <c r="H169" s="167"/>
      <c r="I169" s="167"/>
      <c r="J169" s="22"/>
      <c r="K169" s="24"/>
      <c r="M169" s="14"/>
      <c r="N169" s="14"/>
      <c r="O169" s="14"/>
      <c r="P169" s="14"/>
    </row>
    <row r="170" spans="1:16" ht="19.5" customHeight="1">
      <c r="A170" s="144"/>
      <c r="B170" s="144"/>
      <c r="C170" s="144"/>
      <c r="D170" s="144"/>
      <c r="E170" s="21"/>
      <c r="F170" s="142"/>
      <c r="G170" s="142"/>
      <c r="H170" s="142"/>
      <c r="I170" s="142"/>
      <c r="J170" s="143"/>
      <c r="K170" s="142"/>
      <c r="M170" s="14"/>
      <c r="N170" s="14"/>
      <c r="O170" s="14"/>
      <c r="P170" s="14"/>
    </row>
    <row r="171" spans="1:16" ht="19.5" customHeight="1">
      <c r="A171" s="144">
        <v>14</v>
      </c>
      <c r="B171" s="141" t="s">
        <v>45</v>
      </c>
      <c r="C171" s="144"/>
      <c r="D171" s="144"/>
      <c r="E171" s="21"/>
      <c r="F171" s="21"/>
      <c r="G171" s="21"/>
      <c r="H171" s="21"/>
      <c r="I171" s="9"/>
      <c r="J171" s="144"/>
      <c r="K171" s="143"/>
      <c r="M171" s="14"/>
      <c r="N171" s="14"/>
      <c r="O171" s="14"/>
      <c r="P171" s="14"/>
    </row>
    <row r="172" spans="1:16" ht="19.5" customHeight="1">
      <c r="A172" s="144"/>
      <c r="B172" s="144" t="s">
        <v>43</v>
      </c>
      <c r="C172" s="144">
        <v>25</v>
      </c>
      <c r="D172" s="144">
        <v>1</v>
      </c>
      <c r="E172" s="21">
        <f>2*(3.5+3.5)</f>
        <v>14</v>
      </c>
      <c r="F172" s="21"/>
      <c r="G172" s="21">
        <v>0.75</v>
      </c>
      <c r="H172" s="21"/>
      <c r="I172" s="9">
        <f t="shared" ref="I172:I181" si="2">C172*D172*E172*G172</f>
        <v>262.5</v>
      </c>
      <c r="J172" s="144" t="s">
        <v>64</v>
      </c>
      <c r="K172" s="143"/>
      <c r="M172" s="346"/>
      <c r="N172" s="14"/>
      <c r="O172" s="14"/>
      <c r="P172" s="14"/>
    </row>
    <row r="173" spans="1:16" ht="19.5" customHeight="1">
      <c r="A173" s="173"/>
      <c r="B173" s="173" t="s">
        <v>44</v>
      </c>
      <c r="C173" s="173">
        <v>18</v>
      </c>
      <c r="D173" s="173">
        <v>1</v>
      </c>
      <c r="E173" s="21">
        <f>2*(0.75+0.75)</f>
        <v>3</v>
      </c>
      <c r="F173" s="21"/>
      <c r="G173" s="21">
        <v>18.25</v>
      </c>
      <c r="H173" s="21"/>
      <c r="I173" s="9">
        <f t="shared" ref="I173:I174" si="3">C173*D173*E173*G173</f>
        <v>985.5</v>
      </c>
      <c r="J173" s="173" t="s">
        <v>64</v>
      </c>
      <c r="K173" s="172"/>
      <c r="M173"/>
    </row>
    <row r="174" spans="1:16" ht="19.5" customHeight="1">
      <c r="A174" s="173"/>
      <c r="B174" s="193" t="s">
        <v>294</v>
      </c>
      <c r="C174" s="173">
        <v>7</v>
      </c>
      <c r="D174" s="173">
        <v>1</v>
      </c>
      <c r="E174" s="21">
        <f>E173</f>
        <v>3</v>
      </c>
      <c r="F174" s="21"/>
      <c r="G174" s="195">
        <v>15.75</v>
      </c>
      <c r="H174" s="21"/>
      <c r="I174" s="9">
        <f t="shared" si="3"/>
        <v>330.75</v>
      </c>
      <c r="J174" s="173" t="s">
        <v>64</v>
      </c>
      <c r="K174" s="172"/>
      <c r="M174"/>
    </row>
    <row r="175" spans="1:16" ht="19.5" customHeight="1">
      <c r="A175" s="144"/>
      <c r="B175" s="193" t="s">
        <v>206</v>
      </c>
      <c r="C175" s="144">
        <v>1</v>
      </c>
      <c r="D175" s="144">
        <v>2</v>
      </c>
      <c r="E175" s="21">
        <f>2*(55.5+22.5)</f>
        <v>156</v>
      </c>
      <c r="F175" s="21"/>
      <c r="G175" s="21">
        <v>1</v>
      </c>
      <c r="H175" s="21"/>
      <c r="I175" s="9">
        <f t="shared" si="2"/>
        <v>312</v>
      </c>
      <c r="J175" s="144" t="s">
        <v>64</v>
      </c>
      <c r="K175" s="143"/>
    </row>
    <row r="176" spans="1:16" ht="19.5" customHeight="1">
      <c r="A176" s="192"/>
      <c r="B176" s="193" t="s">
        <v>295</v>
      </c>
      <c r="C176" s="192">
        <v>2</v>
      </c>
      <c r="D176" s="192">
        <v>2</v>
      </c>
      <c r="E176" s="21">
        <v>22.5</v>
      </c>
      <c r="F176" s="21"/>
      <c r="G176" s="21">
        <v>1</v>
      </c>
      <c r="H176" s="21"/>
      <c r="I176" s="9">
        <f>C176*D176*E176*G176</f>
        <v>90</v>
      </c>
      <c r="J176" s="193" t="s">
        <v>64</v>
      </c>
      <c r="K176" s="191"/>
    </row>
    <row r="177" spans="1:11" ht="19.5" customHeight="1">
      <c r="A177" s="144"/>
      <c r="B177" s="146" t="s">
        <v>207</v>
      </c>
      <c r="C177" s="144">
        <v>1</v>
      </c>
      <c r="D177" s="144">
        <v>2</v>
      </c>
      <c r="E177" s="21">
        <f>(55.5)+5.25+5.25</f>
        <v>66</v>
      </c>
      <c r="F177" s="21"/>
      <c r="G177" s="21">
        <v>0.75</v>
      </c>
      <c r="H177" s="21"/>
      <c r="I177" s="9">
        <f t="shared" si="2"/>
        <v>99</v>
      </c>
      <c r="J177" s="144" t="s">
        <v>64</v>
      </c>
      <c r="K177" s="143"/>
    </row>
    <row r="178" spans="1:11" ht="19.5" customHeight="1">
      <c r="A178" s="192"/>
      <c r="B178" s="193" t="s">
        <v>296</v>
      </c>
      <c r="C178" s="192">
        <v>2</v>
      </c>
      <c r="D178" s="192">
        <v>2</v>
      </c>
      <c r="E178" s="21">
        <v>5.25</v>
      </c>
      <c r="F178" s="21"/>
      <c r="G178" s="21">
        <v>0.75</v>
      </c>
      <c r="H178" s="21"/>
      <c r="I178" s="9">
        <f>C178*D178*E178*G178</f>
        <v>15.75</v>
      </c>
      <c r="J178" s="193" t="s">
        <v>64</v>
      </c>
      <c r="K178" s="191"/>
    </row>
    <row r="179" spans="1:11" ht="19.5" customHeight="1">
      <c r="A179" s="144"/>
      <c r="B179" s="193" t="s">
        <v>299</v>
      </c>
      <c r="C179" s="144">
        <v>1</v>
      </c>
      <c r="D179" s="144">
        <v>3</v>
      </c>
      <c r="E179" s="21">
        <f>E175</f>
        <v>156</v>
      </c>
      <c r="F179" s="21"/>
      <c r="G179" s="21">
        <v>1</v>
      </c>
      <c r="H179" s="21"/>
      <c r="I179" s="9">
        <f t="shared" si="2"/>
        <v>468</v>
      </c>
      <c r="J179" s="144" t="s">
        <v>64</v>
      </c>
      <c r="K179" s="143"/>
    </row>
    <row r="180" spans="1:11" ht="19.5" customHeight="1">
      <c r="A180" s="192"/>
      <c r="B180" s="193" t="s">
        <v>297</v>
      </c>
      <c r="C180" s="192">
        <v>2</v>
      </c>
      <c r="D180" s="192">
        <v>3</v>
      </c>
      <c r="E180" s="21">
        <v>22.25</v>
      </c>
      <c r="F180" s="21"/>
      <c r="G180" s="21">
        <v>1</v>
      </c>
      <c r="H180" s="21"/>
      <c r="I180" s="9">
        <f>C180*D180*E180*G180</f>
        <v>133.5</v>
      </c>
      <c r="J180" s="193" t="s">
        <v>64</v>
      </c>
      <c r="K180" s="191"/>
    </row>
    <row r="181" spans="1:11" ht="19.5" customHeight="1">
      <c r="A181" s="144"/>
      <c r="B181" s="193" t="s">
        <v>300</v>
      </c>
      <c r="C181" s="144">
        <v>1</v>
      </c>
      <c r="D181" s="144">
        <v>3</v>
      </c>
      <c r="E181" s="21">
        <f>E177</f>
        <v>66</v>
      </c>
      <c r="F181" s="21"/>
      <c r="G181" s="21">
        <v>0.75</v>
      </c>
      <c r="H181" s="21"/>
      <c r="I181" s="9">
        <f t="shared" si="2"/>
        <v>148.5</v>
      </c>
      <c r="J181" s="144" t="s">
        <v>64</v>
      </c>
      <c r="K181" s="143"/>
    </row>
    <row r="182" spans="1:11" ht="19.5" customHeight="1">
      <c r="A182" s="192"/>
      <c r="B182" s="193" t="s">
        <v>298</v>
      </c>
      <c r="C182" s="192">
        <v>2</v>
      </c>
      <c r="D182" s="192">
        <v>3</v>
      </c>
      <c r="E182" s="21">
        <v>5.25</v>
      </c>
      <c r="F182" s="21"/>
      <c r="G182" s="21">
        <v>0.75</v>
      </c>
      <c r="H182" s="21"/>
      <c r="I182" s="9">
        <f>C182*D182*E182*G182</f>
        <v>23.625</v>
      </c>
      <c r="J182" s="193" t="s">
        <v>64</v>
      </c>
      <c r="K182" s="191"/>
    </row>
    <row r="183" spans="1:11" ht="19.5" customHeight="1">
      <c r="A183" s="144"/>
      <c r="B183" s="174" t="s">
        <v>211</v>
      </c>
      <c r="C183" s="144"/>
      <c r="D183" s="144"/>
      <c r="E183" s="21"/>
      <c r="F183" s="21"/>
      <c r="G183" s="21"/>
      <c r="H183" s="21"/>
      <c r="I183" s="9"/>
      <c r="J183" s="144"/>
      <c r="K183" s="143"/>
    </row>
    <row r="184" spans="1:11" ht="19.5" customHeight="1">
      <c r="A184" s="144"/>
      <c r="B184" s="146" t="s">
        <v>62</v>
      </c>
      <c r="C184" s="146">
        <v>3</v>
      </c>
      <c r="D184" s="144">
        <v>2</v>
      </c>
      <c r="E184" s="21">
        <v>9.25</v>
      </c>
      <c r="F184" s="21"/>
      <c r="G184" s="21">
        <v>0.25</v>
      </c>
      <c r="H184" s="21"/>
      <c r="I184" s="9">
        <f>C184*D184*E184*G184</f>
        <v>13.875</v>
      </c>
      <c r="J184" s="144" t="s">
        <v>64</v>
      </c>
      <c r="K184" s="143"/>
    </row>
    <row r="185" spans="1:11" ht="19.5" customHeight="1">
      <c r="A185" s="144"/>
      <c r="B185" s="146" t="s">
        <v>210</v>
      </c>
      <c r="C185" s="144"/>
      <c r="D185" s="144"/>
      <c r="E185" s="21"/>
      <c r="F185" s="142"/>
      <c r="G185" s="142"/>
      <c r="H185" s="142"/>
      <c r="I185" s="142"/>
      <c r="J185" s="143"/>
      <c r="K185" s="142"/>
    </row>
    <row r="186" spans="1:11" ht="19.5" customHeight="1">
      <c r="A186" s="144"/>
      <c r="B186" s="146" t="s">
        <v>62</v>
      </c>
      <c r="C186" s="144">
        <v>9</v>
      </c>
      <c r="D186" s="144">
        <v>2</v>
      </c>
      <c r="E186" s="21">
        <v>9.25</v>
      </c>
      <c r="F186" s="142"/>
      <c r="G186" s="21">
        <v>0.25</v>
      </c>
      <c r="H186" s="142"/>
      <c r="I186" s="9">
        <f>C186*D186*E186*G186</f>
        <v>41.625</v>
      </c>
      <c r="J186" s="144" t="s">
        <v>64</v>
      </c>
      <c r="K186" s="142"/>
    </row>
    <row r="187" spans="1:11" ht="19.5" customHeight="1">
      <c r="A187" s="144"/>
      <c r="B187" s="146" t="s">
        <v>208</v>
      </c>
      <c r="C187" s="144">
        <v>9</v>
      </c>
      <c r="D187" s="144">
        <v>1</v>
      </c>
      <c r="E187" s="21">
        <v>6</v>
      </c>
      <c r="F187" s="21">
        <v>0.42</v>
      </c>
      <c r="G187" s="142"/>
      <c r="H187" s="142"/>
      <c r="I187" s="9">
        <f>C187*D187*E187*F187</f>
        <v>22.68</v>
      </c>
      <c r="J187" s="144" t="s">
        <v>64</v>
      </c>
      <c r="K187" s="142"/>
    </row>
    <row r="188" spans="1:11" ht="19.5" customHeight="1">
      <c r="A188" s="144"/>
      <c r="B188" s="146" t="s">
        <v>209</v>
      </c>
      <c r="C188" s="144"/>
      <c r="D188" s="144"/>
      <c r="E188" s="21"/>
      <c r="F188" s="142"/>
      <c r="G188" s="142"/>
      <c r="H188" s="142"/>
      <c r="I188" s="142"/>
      <c r="J188" s="143"/>
      <c r="K188" s="142"/>
    </row>
    <row r="189" spans="1:11" ht="19.5" customHeight="1">
      <c r="A189" s="144"/>
      <c r="B189" s="146" t="s">
        <v>62</v>
      </c>
      <c r="C189" s="144">
        <v>9</v>
      </c>
      <c r="D189" s="144">
        <v>2</v>
      </c>
      <c r="E189" s="21">
        <v>9.25</v>
      </c>
      <c r="F189" s="142"/>
      <c r="G189" s="21">
        <v>0.25</v>
      </c>
      <c r="H189" s="142"/>
      <c r="I189" s="9">
        <f>C189*D189*E189*G189</f>
        <v>41.625</v>
      </c>
      <c r="J189" s="144" t="s">
        <v>64</v>
      </c>
      <c r="K189" s="142"/>
    </row>
    <row r="190" spans="1:11" ht="19.5" customHeight="1">
      <c r="A190" s="144"/>
      <c r="B190" s="146" t="s">
        <v>212</v>
      </c>
      <c r="C190" s="144"/>
      <c r="D190" s="144"/>
      <c r="E190" s="21"/>
      <c r="F190" s="142"/>
      <c r="G190" s="21"/>
      <c r="H190" s="142"/>
      <c r="I190" s="9"/>
      <c r="J190" s="143"/>
      <c r="K190" s="142"/>
    </row>
    <row r="191" spans="1:11" ht="19.5" customHeight="1">
      <c r="A191" s="144"/>
      <c r="B191" s="146" t="s">
        <v>62</v>
      </c>
      <c r="C191" s="144">
        <v>4</v>
      </c>
      <c r="D191" s="144">
        <v>2</v>
      </c>
      <c r="E191" s="21">
        <v>11.25</v>
      </c>
      <c r="F191" s="142"/>
      <c r="G191" s="21">
        <v>0.25</v>
      </c>
      <c r="H191" s="142"/>
      <c r="I191" s="9">
        <f>C191*D191*E191*G191</f>
        <v>22.5</v>
      </c>
      <c r="J191" s="144" t="s">
        <v>64</v>
      </c>
      <c r="K191" s="142"/>
    </row>
    <row r="192" spans="1:11" ht="19.5" customHeight="1">
      <c r="A192" s="144"/>
      <c r="B192" s="146" t="s">
        <v>208</v>
      </c>
      <c r="C192" s="144">
        <v>4</v>
      </c>
      <c r="D192" s="144">
        <v>1</v>
      </c>
      <c r="E192" s="21">
        <v>6</v>
      </c>
      <c r="F192" s="21">
        <v>0.25</v>
      </c>
      <c r="G192" s="21"/>
      <c r="H192" s="142"/>
      <c r="I192" s="9">
        <f>C192*D192*E192*F192</f>
        <v>6</v>
      </c>
      <c r="J192" s="144" t="s">
        <v>64</v>
      </c>
      <c r="K192" s="142"/>
    </row>
    <row r="193" spans="1:22" ht="19.5" customHeight="1">
      <c r="A193" s="144"/>
      <c r="B193" s="146" t="s">
        <v>213</v>
      </c>
      <c r="C193" s="144"/>
      <c r="D193" s="144"/>
      <c r="E193" s="21"/>
      <c r="F193" s="142"/>
      <c r="G193" s="21"/>
      <c r="H193" s="142"/>
      <c r="I193" s="9"/>
      <c r="J193" s="143"/>
      <c r="K193" s="142"/>
    </row>
    <row r="194" spans="1:22" ht="19.5" customHeight="1">
      <c r="A194" s="144"/>
      <c r="B194" s="146" t="s">
        <v>62</v>
      </c>
      <c r="C194" s="144">
        <v>4</v>
      </c>
      <c r="D194" s="144">
        <v>2</v>
      </c>
      <c r="E194" s="21">
        <v>11.25</v>
      </c>
      <c r="F194" s="142"/>
      <c r="G194" s="21">
        <v>0.25</v>
      </c>
      <c r="H194" s="142"/>
      <c r="I194" s="9">
        <f>C194*D194*E194*G194</f>
        <v>22.5</v>
      </c>
      <c r="J194" s="144" t="s">
        <v>64</v>
      </c>
      <c r="K194" s="142"/>
    </row>
    <row r="195" spans="1:22" ht="19.5" customHeight="1">
      <c r="A195" s="144"/>
      <c r="B195" s="146" t="s">
        <v>214</v>
      </c>
      <c r="C195" s="144"/>
      <c r="D195" s="144"/>
      <c r="E195" s="21"/>
      <c r="F195" s="142"/>
      <c r="G195" s="21"/>
      <c r="H195" s="142"/>
      <c r="I195" s="9"/>
      <c r="J195" s="143"/>
      <c r="K195" s="142"/>
    </row>
    <row r="196" spans="1:22" ht="19.5" customHeight="1">
      <c r="A196" s="144"/>
      <c r="B196" s="146" t="s">
        <v>62</v>
      </c>
      <c r="C196" s="144">
        <v>4</v>
      </c>
      <c r="D196" s="144">
        <v>2</v>
      </c>
      <c r="E196" s="21">
        <v>11.25</v>
      </c>
      <c r="F196" s="142"/>
      <c r="G196" s="21">
        <v>0.25</v>
      </c>
      <c r="H196" s="142"/>
      <c r="I196" s="9">
        <f>C196*D196*E196*G196</f>
        <v>22.5</v>
      </c>
      <c r="J196" s="144" t="s">
        <v>64</v>
      </c>
      <c r="K196" s="142"/>
    </row>
    <row r="197" spans="1:22" ht="19.5" customHeight="1">
      <c r="A197" s="144"/>
      <c r="B197" s="146" t="s">
        <v>215</v>
      </c>
      <c r="C197" s="144"/>
      <c r="D197" s="144"/>
      <c r="E197" s="21"/>
      <c r="F197" s="142"/>
      <c r="G197" s="21"/>
      <c r="H197" s="142"/>
      <c r="I197" s="9"/>
      <c r="J197" s="143"/>
      <c r="K197" s="142"/>
    </row>
    <row r="198" spans="1:22" ht="19.5" customHeight="1">
      <c r="A198" s="144"/>
      <c r="B198" s="146" t="s">
        <v>62</v>
      </c>
      <c r="C198" s="144">
        <v>4</v>
      </c>
      <c r="D198" s="144">
        <v>2</v>
      </c>
      <c r="E198" s="21">
        <v>9.25</v>
      </c>
      <c r="F198" s="142"/>
      <c r="G198" s="21">
        <v>0.25</v>
      </c>
      <c r="H198" s="142"/>
      <c r="I198" s="9">
        <f>C198*D198*E198*G198</f>
        <v>18.5</v>
      </c>
      <c r="J198" s="173" t="s">
        <v>64</v>
      </c>
      <c r="K198" s="142"/>
    </row>
    <row r="199" spans="1:22" ht="19.5" customHeight="1">
      <c r="A199" s="144"/>
      <c r="B199" s="174" t="s">
        <v>262</v>
      </c>
      <c r="C199" s="144"/>
      <c r="D199" s="144"/>
      <c r="E199" s="21"/>
      <c r="F199" s="142"/>
      <c r="G199" s="142"/>
      <c r="H199" s="142"/>
      <c r="I199" s="9"/>
      <c r="J199" s="143"/>
      <c r="K199" s="142"/>
    </row>
    <row r="200" spans="1:22" ht="19.5" customHeight="1">
      <c r="A200" s="173"/>
      <c r="B200" s="174" t="s">
        <v>62</v>
      </c>
      <c r="C200" s="173">
        <v>2</v>
      </c>
      <c r="D200" s="173">
        <v>2</v>
      </c>
      <c r="E200" s="21">
        <v>5.25</v>
      </c>
      <c r="F200" s="171"/>
      <c r="G200" s="21">
        <v>0.25</v>
      </c>
      <c r="H200" s="171"/>
      <c r="I200" s="9">
        <f>C200*D200*E200*G200</f>
        <v>5.25</v>
      </c>
      <c r="J200" s="172" t="s">
        <v>64</v>
      </c>
      <c r="K200" s="171">
        <f>I200+I198+I196+I194+I192+I191+I189+I187+I186+I184+I181+I179+I177+I175+I174+I173+I172</f>
        <v>2823.3050000000003</v>
      </c>
    </row>
    <row r="201" spans="1:22" ht="19.5" customHeight="1">
      <c r="A201" s="20"/>
      <c r="B201" s="20"/>
      <c r="C201" s="20"/>
      <c r="D201" s="20"/>
      <c r="E201" s="21"/>
      <c r="F201" s="21"/>
      <c r="G201" s="21"/>
      <c r="H201" s="21"/>
      <c r="I201" s="9"/>
      <c r="J201" s="20"/>
      <c r="K201" s="22"/>
    </row>
    <row r="202" spans="1:22" ht="19.5" customHeight="1">
      <c r="A202" s="20">
        <v>15</v>
      </c>
      <c r="B202" s="23" t="s">
        <v>39</v>
      </c>
      <c r="C202" s="20"/>
      <c r="D202" s="20"/>
      <c r="E202" s="21"/>
      <c r="F202" s="20"/>
      <c r="G202" s="20"/>
      <c r="H202" s="20"/>
      <c r="I202" s="9"/>
      <c r="J202" s="20"/>
      <c r="K202" s="22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spans="1:22" ht="19.5" customHeight="1">
      <c r="A203" s="20"/>
      <c r="B203" s="177" t="s">
        <v>58</v>
      </c>
      <c r="C203" s="177">
        <v>5</v>
      </c>
      <c r="D203" s="177"/>
      <c r="E203" s="21">
        <v>24.75</v>
      </c>
      <c r="F203" s="21"/>
      <c r="G203" s="21"/>
      <c r="H203" s="21"/>
      <c r="I203" s="9">
        <f>C203*E203</f>
        <v>123.75</v>
      </c>
      <c r="J203" s="177" t="s">
        <v>56</v>
      </c>
      <c r="K203" s="22"/>
      <c r="M203" s="14"/>
      <c r="N203" s="14"/>
      <c r="O203" s="14"/>
      <c r="P203" s="179"/>
      <c r="Q203" s="179"/>
      <c r="R203" s="179"/>
      <c r="S203" s="179"/>
      <c r="T203" s="99"/>
      <c r="U203" s="14"/>
      <c r="V203" s="14"/>
    </row>
    <row r="204" spans="1:22" ht="19.5" customHeight="1">
      <c r="A204" s="20"/>
      <c r="B204" s="178" t="s">
        <v>216</v>
      </c>
      <c r="C204" s="177">
        <v>4</v>
      </c>
      <c r="D204" s="177"/>
      <c r="E204" s="21">
        <v>14.67</v>
      </c>
      <c r="F204" s="21"/>
      <c r="G204" s="21"/>
      <c r="H204" s="21"/>
      <c r="I204" s="9">
        <f>C204*E204</f>
        <v>58.68</v>
      </c>
      <c r="J204" s="177" t="s">
        <v>56</v>
      </c>
      <c r="K204" s="22"/>
      <c r="M204" s="98"/>
      <c r="N204" s="14"/>
      <c r="O204" s="14"/>
      <c r="P204" s="179"/>
      <c r="Q204" s="179"/>
      <c r="R204" s="179"/>
      <c r="S204" s="179"/>
      <c r="T204" s="99"/>
      <c r="U204" s="14"/>
      <c r="V204" s="14"/>
    </row>
    <row r="205" spans="1:22" ht="19.5" customHeight="1">
      <c r="A205" s="144"/>
      <c r="B205" s="178" t="s">
        <v>217</v>
      </c>
      <c r="C205" s="177">
        <v>2</v>
      </c>
      <c r="D205" s="177"/>
      <c r="E205" s="21">
        <v>10.38</v>
      </c>
      <c r="F205" s="21"/>
      <c r="G205" s="21"/>
      <c r="H205" s="21"/>
      <c r="I205" s="9">
        <f>C205*E205</f>
        <v>20.76</v>
      </c>
      <c r="J205" s="181" t="s">
        <v>56</v>
      </c>
      <c r="K205" s="180">
        <f>I205+I204+I203</f>
        <v>203.19</v>
      </c>
      <c r="M205" s="98"/>
      <c r="N205" s="14"/>
      <c r="O205" s="14"/>
      <c r="P205" s="179"/>
      <c r="Q205" s="179"/>
      <c r="R205" s="179"/>
      <c r="S205" s="179"/>
      <c r="T205" s="99"/>
      <c r="U205" s="14"/>
      <c r="V205" s="14"/>
    </row>
    <row r="206" spans="1:22" ht="19.5" customHeight="1">
      <c r="A206" s="20"/>
      <c r="B206" s="176" t="s">
        <v>263</v>
      </c>
      <c r="C206" s="177"/>
      <c r="D206" s="177"/>
      <c r="E206" s="21"/>
      <c r="F206" s="21"/>
      <c r="G206" s="21"/>
      <c r="H206" s="21"/>
      <c r="I206" s="9"/>
      <c r="J206" s="177"/>
      <c r="K206" s="22"/>
      <c r="M206" s="42"/>
      <c r="N206" s="14"/>
      <c r="O206" s="14"/>
      <c r="P206" s="179"/>
      <c r="Q206" s="179"/>
      <c r="R206" s="179"/>
      <c r="S206" s="179"/>
      <c r="T206" s="99"/>
      <c r="U206" s="14"/>
      <c r="V206" s="14"/>
    </row>
    <row r="207" spans="1:22" ht="19.5" customHeight="1">
      <c r="A207" s="20"/>
      <c r="B207" s="177" t="s">
        <v>218</v>
      </c>
      <c r="C207" s="177">
        <v>3</v>
      </c>
      <c r="D207" s="177">
        <v>1</v>
      </c>
      <c r="E207" s="21">
        <v>21.94</v>
      </c>
      <c r="F207" s="21"/>
      <c r="G207" s="21"/>
      <c r="H207" s="21"/>
      <c r="I207" s="9">
        <f t="shared" ref="I207:I218" si="4">C207*D207*E207</f>
        <v>65.820000000000007</v>
      </c>
      <c r="J207" s="177" t="s">
        <v>56</v>
      </c>
      <c r="K207" s="22"/>
      <c r="M207" s="14"/>
      <c r="N207" s="14"/>
      <c r="O207" s="14"/>
      <c r="P207" s="179"/>
      <c r="Q207" s="179"/>
      <c r="R207" s="179"/>
      <c r="S207" s="179"/>
      <c r="T207" s="99"/>
      <c r="U207" s="14"/>
      <c r="V207" s="14"/>
    </row>
    <row r="208" spans="1:22" ht="19.5" customHeight="1">
      <c r="A208" s="144"/>
      <c r="B208" s="177" t="s">
        <v>219</v>
      </c>
      <c r="C208" s="177">
        <v>3</v>
      </c>
      <c r="D208" s="177">
        <v>1</v>
      </c>
      <c r="E208" s="21">
        <v>15.48</v>
      </c>
      <c r="F208" s="21"/>
      <c r="G208" s="21"/>
      <c r="H208" s="21"/>
      <c r="I208" s="9">
        <f t="shared" si="4"/>
        <v>46.44</v>
      </c>
      <c r="J208" s="177" t="s">
        <v>56</v>
      </c>
      <c r="K208" s="143"/>
      <c r="M208" s="14"/>
      <c r="N208" s="14"/>
      <c r="O208" s="14"/>
      <c r="P208" s="179"/>
      <c r="Q208" s="179"/>
      <c r="R208" s="179"/>
      <c r="S208" s="179"/>
      <c r="T208" s="99"/>
      <c r="U208" s="14"/>
      <c r="V208" s="14"/>
    </row>
    <row r="209" spans="1:22" ht="19.5" customHeight="1">
      <c r="A209" s="20"/>
      <c r="B209" s="178" t="s">
        <v>220</v>
      </c>
      <c r="C209" s="177">
        <v>2</v>
      </c>
      <c r="D209" s="177">
        <v>1</v>
      </c>
      <c r="E209" s="21">
        <v>19.79</v>
      </c>
      <c r="F209" s="21"/>
      <c r="G209" s="21"/>
      <c r="H209" s="21"/>
      <c r="I209" s="9">
        <f t="shared" si="4"/>
        <v>39.58</v>
      </c>
      <c r="J209" s="177" t="s">
        <v>56</v>
      </c>
      <c r="K209" s="22"/>
      <c r="M209" s="98"/>
      <c r="N209" s="14"/>
      <c r="O209" s="14"/>
      <c r="P209" s="179"/>
      <c r="Q209" s="179"/>
      <c r="R209" s="179"/>
      <c r="S209" s="179"/>
      <c r="T209" s="99"/>
      <c r="U209" s="14"/>
      <c r="V209" s="14"/>
    </row>
    <row r="210" spans="1:22" ht="19.5" customHeight="1">
      <c r="A210" s="20"/>
      <c r="B210" s="178" t="s">
        <v>221</v>
      </c>
      <c r="C210" s="177">
        <v>2</v>
      </c>
      <c r="D210" s="177">
        <v>1</v>
      </c>
      <c r="E210" s="21">
        <v>13.33</v>
      </c>
      <c r="F210" s="21"/>
      <c r="G210" s="21"/>
      <c r="H210" s="21"/>
      <c r="I210" s="9">
        <f t="shared" si="4"/>
        <v>26.66</v>
      </c>
      <c r="J210" s="177" t="s">
        <v>56</v>
      </c>
      <c r="K210" s="22"/>
      <c r="M210" s="98"/>
      <c r="N210" s="14"/>
      <c r="O210" s="14"/>
      <c r="P210" s="179"/>
      <c r="Q210" s="179"/>
      <c r="R210" s="179"/>
      <c r="S210" s="179"/>
      <c r="T210" s="99"/>
      <c r="U210" s="14"/>
      <c r="V210" s="14"/>
    </row>
    <row r="211" spans="1:22" ht="19.5" customHeight="1">
      <c r="A211" s="20"/>
      <c r="B211" s="178" t="s">
        <v>222</v>
      </c>
      <c r="C211" s="177">
        <v>2</v>
      </c>
      <c r="D211" s="177">
        <v>2</v>
      </c>
      <c r="E211" s="21">
        <v>21.9</v>
      </c>
      <c r="F211" s="21"/>
      <c r="G211" s="21"/>
      <c r="H211" s="21"/>
      <c r="I211" s="9">
        <f t="shared" si="4"/>
        <v>87.6</v>
      </c>
      <c r="J211" s="177" t="s">
        <v>56</v>
      </c>
      <c r="K211" s="22"/>
      <c r="M211" s="98"/>
      <c r="N211" s="14"/>
      <c r="O211" s="14"/>
      <c r="P211" s="179"/>
      <c r="Q211" s="179"/>
      <c r="R211" s="179"/>
      <c r="S211" s="179"/>
      <c r="T211" s="99"/>
      <c r="U211" s="14"/>
      <c r="V211" s="14"/>
    </row>
    <row r="212" spans="1:22" ht="19.5" customHeight="1">
      <c r="A212" s="20"/>
      <c r="B212" s="178" t="s">
        <v>223</v>
      </c>
      <c r="C212" s="177">
        <v>2</v>
      </c>
      <c r="D212" s="177">
        <v>1</v>
      </c>
      <c r="E212" s="21">
        <v>15.48</v>
      </c>
      <c r="F212" s="21"/>
      <c r="G212" s="21"/>
      <c r="H212" s="21"/>
      <c r="I212" s="9">
        <f t="shared" si="4"/>
        <v>30.96</v>
      </c>
      <c r="J212" s="177" t="s">
        <v>56</v>
      </c>
      <c r="K212" s="22"/>
      <c r="M212" s="98"/>
      <c r="N212" s="14"/>
      <c r="O212" s="14"/>
      <c r="P212" s="179"/>
      <c r="Q212" s="179"/>
      <c r="R212" s="179"/>
      <c r="S212" s="179"/>
      <c r="T212" s="99"/>
      <c r="U212" s="14"/>
      <c r="V212" s="14"/>
    </row>
    <row r="213" spans="1:22" ht="19.5" customHeight="1">
      <c r="A213" s="144"/>
      <c r="B213" s="183" t="s">
        <v>226</v>
      </c>
      <c r="C213" s="182">
        <v>2</v>
      </c>
      <c r="D213" s="182">
        <v>1</v>
      </c>
      <c r="E213" s="21">
        <v>8.75</v>
      </c>
      <c r="F213" s="21"/>
      <c r="G213" s="21"/>
      <c r="H213" s="21"/>
      <c r="I213" s="9">
        <f t="shared" si="4"/>
        <v>17.5</v>
      </c>
      <c r="J213" s="182" t="s">
        <v>56</v>
      </c>
      <c r="K213" s="142"/>
      <c r="M213" s="98"/>
      <c r="N213" s="14"/>
      <c r="O213" s="14"/>
      <c r="P213" s="179"/>
      <c r="Q213" s="179"/>
      <c r="R213" s="179"/>
      <c r="S213" s="179"/>
      <c r="T213" s="99"/>
      <c r="U213" s="14"/>
      <c r="V213" s="14"/>
    </row>
    <row r="214" spans="1:22" ht="19.5" customHeight="1">
      <c r="A214" s="182"/>
      <c r="B214" s="183" t="s">
        <v>225</v>
      </c>
      <c r="C214" s="182">
        <v>2</v>
      </c>
      <c r="D214" s="182">
        <v>1</v>
      </c>
      <c r="E214" s="21">
        <v>12.25</v>
      </c>
      <c r="F214" s="21"/>
      <c r="G214" s="21"/>
      <c r="H214" s="21"/>
      <c r="I214" s="9">
        <f>C214*D214*E214</f>
        <v>24.5</v>
      </c>
      <c r="J214" s="182" t="s">
        <v>56</v>
      </c>
      <c r="K214" s="180"/>
      <c r="M214" s="98"/>
      <c r="N214" s="14"/>
      <c r="O214" s="14"/>
      <c r="P214" s="179"/>
      <c r="Q214" s="179"/>
      <c r="R214" s="179"/>
      <c r="S214" s="179"/>
      <c r="T214" s="99"/>
      <c r="U214" s="14"/>
      <c r="V214" s="14"/>
    </row>
    <row r="215" spans="1:22" ht="19.5" customHeight="1">
      <c r="A215" s="182"/>
      <c r="B215" s="183" t="s">
        <v>224</v>
      </c>
      <c r="C215" s="182">
        <v>2</v>
      </c>
      <c r="D215" s="182">
        <v>1</v>
      </c>
      <c r="E215" s="21">
        <v>16.02</v>
      </c>
      <c r="F215" s="21"/>
      <c r="G215" s="21"/>
      <c r="H215" s="21"/>
      <c r="I215" s="9">
        <f>C215*D215*E215</f>
        <v>32.04</v>
      </c>
      <c r="J215" s="182" t="s">
        <v>56</v>
      </c>
      <c r="K215" s="180"/>
      <c r="M215" s="98"/>
      <c r="N215" s="14"/>
      <c r="O215" s="14"/>
      <c r="P215" s="179"/>
      <c r="Q215" s="179"/>
      <c r="R215" s="179"/>
      <c r="S215" s="179"/>
      <c r="T215" s="99"/>
      <c r="U215" s="14"/>
      <c r="V215" s="14"/>
    </row>
    <row r="216" spans="1:22" ht="19.5" customHeight="1">
      <c r="A216" s="144"/>
      <c r="B216" s="183" t="s">
        <v>227</v>
      </c>
      <c r="C216" s="182">
        <v>4</v>
      </c>
      <c r="D216" s="182">
        <v>1</v>
      </c>
      <c r="E216" s="21">
        <v>2.56</v>
      </c>
      <c r="F216" s="21"/>
      <c r="G216" s="21"/>
      <c r="H216" s="21"/>
      <c r="I216" s="9">
        <f t="shared" si="4"/>
        <v>10.24</v>
      </c>
      <c r="J216" s="182" t="s">
        <v>56</v>
      </c>
      <c r="K216" s="142"/>
      <c r="M216" s="98"/>
      <c r="N216" s="14"/>
      <c r="O216" s="14"/>
      <c r="P216" s="179"/>
      <c r="Q216" s="179"/>
      <c r="R216" s="179"/>
      <c r="S216" s="179"/>
      <c r="T216" s="99"/>
      <c r="U216" s="14"/>
      <c r="V216" s="14"/>
    </row>
    <row r="217" spans="1:22" ht="19.5" customHeight="1">
      <c r="A217" s="144"/>
      <c r="B217" s="183" t="s">
        <v>228</v>
      </c>
      <c r="C217" s="182">
        <v>4</v>
      </c>
      <c r="D217" s="182">
        <v>1</v>
      </c>
      <c r="E217" s="21">
        <v>5.79</v>
      </c>
      <c r="F217" s="21"/>
      <c r="G217" s="21"/>
      <c r="H217" s="21"/>
      <c r="I217" s="9">
        <f t="shared" si="4"/>
        <v>23.16</v>
      </c>
      <c r="J217" s="182" t="s">
        <v>56</v>
      </c>
      <c r="K217" s="142"/>
      <c r="M217" s="98"/>
      <c r="N217" s="14"/>
      <c r="O217" s="14"/>
      <c r="P217" s="179"/>
      <c r="Q217" s="179"/>
      <c r="R217" s="179"/>
      <c r="S217" s="179"/>
      <c r="T217" s="99"/>
      <c r="U217" s="14"/>
      <c r="V217" s="14"/>
    </row>
    <row r="218" spans="1:22" ht="19.5" customHeight="1">
      <c r="A218" s="144"/>
      <c r="B218" s="183" t="s">
        <v>229</v>
      </c>
      <c r="C218" s="182">
        <v>4</v>
      </c>
      <c r="D218" s="182">
        <v>1</v>
      </c>
      <c r="E218" s="21">
        <v>9.56</v>
      </c>
      <c r="F218" s="21"/>
      <c r="G218" s="21"/>
      <c r="H218" s="21"/>
      <c r="I218" s="9">
        <f t="shared" si="4"/>
        <v>38.24</v>
      </c>
      <c r="J218" s="182" t="s">
        <v>56</v>
      </c>
      <c r="K218" s="142"/>
      <c r="M218" s="98"/>
      <c r="N218" s="14"/>
      <c r="O218" s="14"/>
      <c r="P218" s="179"/>
      <c r="Q218" s="179"/>
      <c r="R218" s="179"/>
      <c r="S218" s="179"/>
      <c r="T218" s="99"/>
      <c r="U218" s="14"/>
      <c r="V218" s="14"/>
    </row>
    <row r="219" spans="1:22" ht="19.5" customHeight="1">
      <c r="A219" s="144"/>
      <c r="B219" s="183" t="s">
        <v>264</v>
      </c>
      <c r="C219" s="182">
        <v>3</v>
      </c>
      <c r="D219" s="182">
        <v>1</v>
      </c>
      <c r="E219" s="21"/>
      <c r="F219" s="21"/>
      <c r="G219" s="21">
        <v>4.53</v>
      </c>
      <c r="H219" s="21"/>
      <c r="I219" s="9">
        <f>C219*D219*G219</f>
        <v>13.59</v>
      </c>
      <c r="J219" s="182" t="s">
        <v>56</v>
      </c>
      <c r="K219" s="142"/>
      <c r="M219" s="98"/>
      <c r="N219" s="14"/>
      <c r="O219" s="14"/>
      <c r="P219" s="179"/>
      <c r="Q219" s="179"/>
      <c r="R219" s="179"/>
      <c r="S219" s="179"/>
      <c r="T219" s="99"/>
      <c r="U219" s="42"/>
      <c r="V219" s="14"/>
    </row>
    <row r="220" spans="1:22" ht="19.5" customHeight="1">
      <c r="A220" s="20"/>
      <c r="B220" s="183" t="s">
        <v>264</v>
      </c>
      <c r="C220" s="20">
        <v>2</v>
      </c>
      <c r="D220" s="20">
        <v>1</v>
      </c>
      <c r="E220" s="21"/>
      <c r="F220" s="21"/>
      <c r="G220" s="21">
        <v>3.72</v>
      </c>
      <c r="H220" s="21"/>
      <c r="I220" s="9">
        <f>C220*D220*G220</f>
        <v>7.44</v>
      </c>
      <c r="J220" s="182" t="s">
        <v>56</v>
      </c>
      <c r="K220" s="22"/>
      <c r="M220" s="14"/>
      <c r="N220" s="14"/>
      <c r="O220" s="14"/>
      <c r="P220" s="179"/>
      <c r="Q220" s="179"/>
      <c r="R220" s="179"/>
      <c r="S220" s="179"/>
      <c r="T220" s="99"/>
      <c r="U220" s="14"/>
      <c r="V220" s="14"/>
    </row>
    <row r="221" spans="1:22" ht="19.5" customHeight="1">
      <c r="A221" s="20"/>
      <c r="B221" s="182" t="s">
        <v>265</v>
      </c>
      <c r="C221" s="20">
        <v>1</v>
      </c>
      <c r="D221" s="20">
        <v>1</v>
      </c>
      <c r="E221" s="21">
        <v>36</v>
      </c>
      <c r="F221" s="21"/>
      <c r="G221" s="21"/>
      <c r="H221" s="21"/>
      <c r="I221" s="9">
        <f>C221*D221*E221</f>
        <v>36</v>
      </c>
      <c r="J221" s="181" t="s">
        <v>56</v>
      </c>
      <c r="K221" s="180">
        <f>I221+I220+I219+I218+I217+I216+I215+I214+I213+I212+I211+I210+I209+I208+I207</f>
        <v>499.77</v>
      </c>
      <c r="L221" s="162"/>
      <c r="M221" s="14"/>
      <c r="N221" s="14"/>
      <c r="O221" s="14"/>
      <c r="P221" s="14"/>
      <c r="Q221" s="14"/>
      <c r="R221" s="14"/>
      <c r="S221" s="14"/>
      <c r="T221" s="14"/>
      <c r="U221" s="14"/>
      <c r="V221" s="14"/>
    </row>
    <row r="222" spans="1:22" ht="19.5" customHeight="1">
      <c r="A222" s="150"/>
      <c r="B222" s="181" t="s">
        <v>60</v>
      </c>
      <c r="C222" s="182"/>
      <c r="D222" s="182"/>
      <c r="E222" s="21"/>
      <c r="F222" s="21"/>
      <c r="G222" s="21"/>
      <c r="H222" s="21"/>
      <c r="I222" s="9"/>
      <c r="J222" s="182"/>
      <c r="K222" s="149"/>
      <c r="L222" s="162"/>
      <c r="M222" s="14"/>
      <c r="N222" s="14"/>
      <c r="O222" s="14"/>
      <c r="P222" s="14"/>
      <c r="Q222" s="14"/>
      <c r="R222" s="14"/>
      <c r="S222" s="14"/>
      <c r="T222" s="14"/>
      <c r="U222" s="14"/>
      <c r="V222" s="14"/>
    </row>
    <row r="223" spans="1:22" ht="19.5" customHeight="1">
      <c r="A223" s="182"/>
      <c r="B223" s="182" t="s">
        <v>266</v>
      </c>
      <c r="C223" s="182">
        <v>4</v>
      </c>
      <c r="D223" s="182">
        <v>1</v>
      </c>
      <c r="E223" s="21">
        <v>64.75</v>
      </c>
      <c r="F223" s="21"/>
      <c r="G223" s="21"/>
      <c r="H223" s="21"/>
      <c r="I223" s="9">
        <f t="shared" ref="I223:I228" si="5">C223*D223*E223</f>
        <v>259</v>
      </c>
      <c r="J223" s="182" t="s">
        <v>56</v>
      </c>
      <c r="K223" s="181"/>
      <c r="M223" s="14"/>
      <c r="N223" s="14"/>
      <c r="O223" s="14"/>
      <c r="P223" s="179"/>
      <c r="Q223" s="179"/>
      <c r="R223" s="179"/>
      <c r="S223" s="179"/>
      <c r="T223" s="99"/>
      <c r="U223" s="14"/>
      <c r="V223" s="14"/>
    </row>
    <row r="224" spans="1:22" ht="19.5" customHeight="1">
      <c r="A224" s="182"/>
      <c r="B224" s="182" t="s">
        <v>267</v>
      </c>
      <c r="C224" s="182">
        <v>2</v>
      </c>
      <c r="D224" s="182">
        <v>1</v>
      </c>
      <c r="E224" s="21">
        <v>60.75</v>
      </c>
      <c r="F224" s="21"/>
      <c r="G224" s="21"/>
      <c r="H224" s="21"/>
      <c r="I224" s="9">
        <f t="shared" si="5"/>
        <v>121.5</v>
      </c>
      <c r="J224" s="182" t="s">
        <v>56</v>
      </c>
      <c r="K224" s="181"/>
      <c r="M224" s="14"/>
      <c r="N224" s="14"/>
      <c r="O224" s="14"/>
      <c r="P224" s="179"/>
      <c r="Q224" s="179"/>
      <c r="R224" s="179"/>
      <c r="S224" s="179"/>
      <c r="T224" s="99"/>
      <c r="U224" s="14"/>
      <c r="V224" s="14"/>
    </row>
    <row r="225" spans="1:22" ht="19.5" customHeight="1">
      <c r="A225" s="182"/>
      <c r="B225" s="182" t="s">
        <v>268</v>
      </c>
      <c r="C225" s="182">
        <v>2</v>
      </c>
      <c r="D225" s="182">
        <v>1</v>
      </c>
      <c r="E225" s="21">
        <v>56.75</v>
      </c>
      <c r="F225" s="21"/>
      <c r="G225" s="21"/>
      <c r="H225" s="21"/>
      <c r="I225" s="9">
        <f t="shared" si="5"/>
        <v>113.5</v>
      </c>
      <c r="J225" s="182" t="s">
        <v>56</v>
      </c>
      <c r="K225" s="181"/>
      <c r="M225" s="14"/>
      <c r="N225" s="14"/>
      <c r="O225" s="14"/>
      <c r="P225" s="179"/>
      <c r="Q225" s="179"/>
      <c r="R225" s="179"/>
      <c r="S225" s="179"/>
      <c r="T225" s="99"/>
      <c r="U225" s="14"/>
      <c r="V225" s="14"/>
    </row>
    <row r="226" spans="1:22" ht="19.5" customHeight="1">
      <c r="A226" s="182"/>
      <c r="B226" s="182" t="s">
        <v>269</v>
      </c>
      <c r="C226" s="182">
        <v>2</v>
      </c>
      <c r="D226" s="182">
        <v>1</v>
      </c>
      <c r="E226" s="21">
        <v>52.75</v>
      </c>
      <c r="F226" s="21"/>
      <c r="G226" s="21"/>
      <c r="H226" s="21"/>
      <c r="I226" s="9">
        <f t="shared" si="5"/>
        <v>105.5</v>
      </c>
      <c r="J226" s="182" t="s">
        <v>56</v>
      </c>
      <c r="K226" s="181"/>
      <c r="M226" s="14"/>
      <c r="N226" s="14"/>
      <c r="O226" s="14"/>
      <c r="P226" s="179"/>
      <c r="Q226" s="179"/>
      <c r="R226" s="179"/>
      <c r="S226" s="179"/>
      <c r="T226" s="99"/>
      <c r="U226" s="14"/>
      <c r="V226" s="14"/>
    </row>
    <row r="227" spans="1:22" ht="19.5" customHeight="1">
      <c r="A227" s="182"/>
      <c r="B227" s="182" t="s">
        <v>270</v>
      </c>
      <c r="C227" s="182">
        <v>2</v>
      </c>
      <c r="D227" s="182">
        <v>1</v>
      </c>
      <c r="E227" s="21">
        <v>48.75</v>
      </c>
      <c r="F227" s="21"/>
      <c r="G227" s="21"/>
      <c r="H227" s="21"/>
      <c r="I227" s="9">
        <f t="shared" si="5"/>
        <v>97.5</v>
      </c>
      <c r="J227" s="182" t="s">
        <v>56</v>
      </c>
      <c r="K227" s="181"/>
      <c r="M227" s="14"/>
      <c r="N227" s="14"/>
      <c r="O227" s="14"/>
      <c r="P227" s="179"/>
      <c r="Q227" s="179"/>
      <c r="R227" s="179"/>
      <c r="S227" s="179"/>
      <c r="T227" s="99"/>
      <c r="U227" s="14"/>
      <c r="V227" s="14"/>
    </row>
    <row r="228" spans="1:22" ht="19.5" customHeight="1">
      <c r="A228" s="182"/>
      <c r="B228" s="182" t="s">
        <v>271</v>
      </c>
      <c r="C228" s="182">
        <v>2</v>
      </c>
      <c r="D228" s="182">
        <v>1</v>
      </c>
      <c r="E228" s="21">
        <v>44.75</v>
      </c>
      <c r="F228" s="21"/>
      <c r="G228" s="21"/>
      <c r="H228" s="21"/>
      <c r="I228" s="9">
        <f t="shared" si="5"/>
        <v>89.5</v>
      </c>
      <c r="J228" s="182" t="s">
        <v>56</v>
      </c>
      <c r="K228" s="181"/>
      <c r="M228" s="14"/>
      <c r="N228" s="14"/>
      <c r="O228" s="14"/>
      <c r="P228" s="179"/>
      <c r="Q228" s="179"/>
      <c r="R228" s="179"/>
      <c r="S228" s="179"/>
      <c r="T228" s="99"/>
      <c r="U228" s="14"/>
      <c r="V228" s="14"/>
    </row>
    <row r="229" spans="1:22" ht="19.5" customHeight="1">
      <c r="A229" s="150"/>
      <c r="B229" s="182" t="s">
        <v>272</v>
      </c>
      <c r="C229" s="182">
        <v>2</v>
      </c>
      <c r="D229" s="182">
        <v>1</v>
      </c>
      <c r="E229" s="21">
        <v>37</v>
      </c>
      <c r="F229" s="21"/>
      <c r="G229" s="21"/>
      <c r="H229" s="21"/>
      <c r="I229" s="9">
        <f t="shared" ref="I229" si="6">C229*D229*E229</f>
        <v>74</v>
      </c>
      <c r="J229" s="182" t="s">
        <v>56</v>
      </c>
      <c r="K229" s="149"/>
      <c r="M229" s="14"/>
      <c r="N229" s="14"/>
      <c r="O229" s="14"/>
      <c r="P229" s="179"/>
      <c r="Q229" s="179"/>
      <c r="R229" s="179"/>
      <c r="S229" s="179"/>
      <c r="T229" s="99"/>
      <c r="U229" s="14"/>
      <c r="V229" s="14"/>
    </row>
    <row r="230" spans="1:22" ht="19.5" customHeight="1">
      <c r="A230" s="150"/>
      <c r="B230" s="183" t="s">
        <v>273</v>
      </c>
      <c r="C230" s="182">
        <v>2</v>
      </c>
      <c r="D230" s="182">
        <v>1</v>
      </c>
      <c r="E230" s="21">
        <v>28.75</v>
      </c>
      <c r="F230" s="21"/>
      <c r="G230" s="21"/>
      <c r="H230" s="21"/>
      <c r="I230" s="9">
        <f t="shared" ref="I230:I237" si="7">C230*D230*E230</f>
        <v>57.5</v>
      </c>
      <c r="J230" s="182" t="s">
        <v>56</v>
      </c>
      <c r="K230" s="149"/>
      <c r="M230" s="14"/>
      <c r="N230" s="14"/>
      <c r="O230" s="14"/>
      <c r="P230" s="14"/>
      <c r="Q230" s="14"/>
      <c r="R230" s="14"/>
      <c r="S230" s="14"/>
      <c r="T230" s="14"/>
      <c r="U230" s="14"/>
      <c r="V230" s="14"/>
    </row>
    <row r="231" spans="1:22" ht="19.5" customHeight="1">
      <c r="A231" s="150"/>
      <c r="B231" s="183" t="s">
        <v>274</v>
      </c>
      <c r="C231" s="182">
        <v>2</v>
      </c>
      <c r="D231" s="182">
        <v>1</v>
      </c>
      <c r="E231" s="21">
        <v>24.75</v>
      </c>
      <c r="F231" s="21"/>
      <c r="G231" s="21"/>
      <c r="H231" s="21"/>
      <c r="I231" s="9">
        <f t="shared" si="7"/>
        <v>49.5</v>
      </c>
      <c r="J231" s="182" t="s">
        <v>56</v>
      </c>
      <c r="K231" s="149"/>
      <c r="M231" s="14"/>
      <c r="N231" s="14"/>
      <c r="O231" s="14"/>
      <c r="P231" s="14"/>
      <c r="Q231" s="14"/>
      <c r="R231" s="14"/>
      <c r="S231" s="14"/>
      <c r="T231" s="14"/>
      <c r="U231" s="14"/>
      <c r="V231" s="14"/>
    </row>
    <row r="232" spans="1:22" ht="19.5" customHeight="1">
      <c r="A232" s="20"/>
      <c r="B232" s="183" t="s">
        <v>275</v>
      </c>
      <c r="C232" s="182">
        <v>2</v>
      </c>
      <c r="D232" s="182">
        <v>1</v>
      </c>
      <c r="E232" s="21">
        <v>20.75</v>
      </c>
      <c r="F232" s="21"/>
      <c r="G232" s="21"/>
      <c r="H232" s="21"/>
      <c r="I232" s="9">
        <f t="shared" si="7"/>
        <v>41.5</v>
      </c>
      <c r="J232" s="182" t="s">
        <v>56</v>
      </c>
      <c r="K232" s="24"/>
      <c r="M232" s="14"/>
      <c r="N232" s="14"/>
      <c r="O232" s="14"/>
      <c r="P232" s="14"/>
      <c r="Q232" s="14"/>
      <c r="R232" s="14"/>
      <c r="S232" s="14"/>
      <c r="T232" s="14"/>
      <c r="U232" s="14"/>
      <c r="V232" s="14"/>
    </row>
    <row r="233" spans="1:22" ht="19.5" customHeight="1">
      <c r="A233" s="20"/>
      <c r="B233" s="183" t="s">
        <v>276</v>
      </c>
      <c r="C233" s="182">
        <v>2</v>
      </c>
      <c r="D233" s="182">
        <v>1</v>
      </c>
      <c r="E233" s="21">
        <v>16.75</v>
      </c>
      <c r="F233" s="21"/>
      <c r="G233" s="21"/>
      <c r="H233" s="21"/>
      <c r="I233" s="9">
        <f t="shared" si="7"/>
        <v>33.5</v>
      </c>
      <c r="J233" s="182" t="s">
        <v>56</v>
      </c>
      <c r="K233" s="22"/>
      <c r="M233" s="14"/>
      <c r="N233" s="14"/>
      <c r="O233" s="14"/>
      <c r="P233" s="179"/>
      <c r="Q233" s="179"/>
      <c r="R233" s="179"/>
      <c r="S233" s="179"/>
      <c r="T233" s="99"/>
      <c r="U233" s="14"/>
      <c r="V233" s="14"/>
    </row>
    <row r="234" spans="1:22" ht="19.5" customHeight="1">
      <c r="A234" s="20"/>
      <c r="B234" s="183" t="s">
        <v>277</v>
      </c>
      <c r="C234" s="182">
        <v>2</v>
      </c>
      <c r="D234" s="182">
        <v>1</v>
      </c>
      <c r="E234" s="21">
        <v>12.75</v>
      </c>
      <c r="F234" s="21"/>
      <c r="G234" s="21"/>
      <c r="H234" s="21"/>
      <c r="I234" s="9">
        <f t="shared" si="7"/>
        <v>25.5</v>
      </c>
      <c r="J234" s="182" t="s">
        <v>56</v>
      </c>
      <c r="K234" s="22"/>
      <c r="M234" s="42"/>
      <c r="N234" s="14"/>
      <c r="O234" s="14"/>
      <c r="P234" s="179"/>
      <c r="Q234" s="179"/>
      <c r="R234" s="179"/>
      <c r="S234" s="179"/>
      <c r="T234" s="99"/>
      <c r="U234" s="14"/>
      <c r="V234" s="14"/>
    </row>
    <row r="235" spans="1:22" ht="19.5" customHeight="1">
      <c r="A235" s="20"/>
      <c r="B235" s="183" t="s">
        <v>278</v>
      </c>
      <c r="C235" s="182">
        <v>2</v>
      </c>
      <c r="D235" s="182">
        <v>1</v>
      </c>
      <c r="E235" s="21">
        <v>8.75</v>
      </c>
      <c r="F235" s="21"/>
      <c r="G235" s="21"/>
      <c r="H235" s="21"/>
      <c r="I235" s="9">
        <f t="shared" si="7"/>
        <v>17.5</v>
      </c>
      <c r="J235" s="182" t="s">
        <v>56</v>
      </c>
      <c r="K235" s="22"/>
      <c r="M235" s="14"/>
      <c r="N235" s="14"/>
      <c r="O235" s="14"/>
      <c r="P235" s="179"/>
      <c r="Q235" s="179"/>
      <c r="R235" s="179"/>
      <c r="S235" s="179"/>
      <c r="T235" s="99"/>
      <c r="U235" s="14"/>
      <c r="V235" s="14"/>
    </row>
    <row r="236" spans="1:22" ht="19.5" customHeight="1">
      <c r="A236" s="20"/>
      <c r="B236" s="183" t="s">
        <v>279</v>
      </c>
      <c r="C236" s="182">
        <v>2</v>
      </c>
      <c r="D236" s="182">
        <v>1</v>
      </c>
      <c r="E236" s="21">
        <v>1</v>
      </c>
      <c r="F236" s="182"/>
      <c r="G236" s="182"/>
      <c r="H236" s="182"/>
      <c r="I236" s="9">
        <f t="shared" si="7"/>
        <v>2</v>
      </c>
      <c r="J236" s="183" t="s">
        <v>56</v>
      </c>
      <c r="K236" s="22"/>
      <c r="M236" s="14"/>
      <c r="N236" s="14"/>
      <c r="O236" s="14"/>
      <c r="P236" s="179"/>
      <c r="Q236" s="179"/>
      <c r="R236" s="179"/>
      <c r="S236" s="179"/>
      <c r="T236" s="99"/>
      <c r="U236" s="14"/>
      <c r="V236" s="14"/>
    </row>
    <row r="237" spans="1:22" ht="19.5" customHeight="1">
      <c r="A237" s="20"/>
      <c r="B237" s="183" t="s">
        <v>280</v>
      </c>
      <c r="C237" s="182">
        <v>4</v>
      </c>
      <c r="D237" s="182">
        <v>2</v>
      </c>
      <c r="E237" s="21">
        <v>21.9</v>
      </c>
      <c r="F237" s="21"/>
      <c r="G237" s="21"/>
      <c r="H237" s="21"/>
      <c r="I237" s="9">
        <f t="shared" si="7"/>
        <v>175.2</v>
      </c>
      <c r="J237" s="181" t="s">
        <v>56</v>
      </c>
      <c r="K237" s="180">
        <f>I237+I236+I235+I234+I233+I232+I231+I230+I229+I228+I227+I226+I225+I224+I223</f>
        <v>1262.7</v>
      </c>
      <c r="M237" s="14"/>
      <c r="N237" s="14"/>
      <c r="O237" s="14"/>
      <c r="P237" s="179"/>
      <c r="Q237" s="179"/>
      <c r="R237" s="179"/>
      <c r="S237" s="179"/>
      <c r="T237" s="99"/>
      <c r="U237" s="14"/>
      <c r="V237" s="14"/>
    </row>
    <row r="238" spans="1:22" ht="19.5" customHeight="1">
      <c r="A238" s="20"/>
      <c r="B238" s="172" t="s">
        <v>59</v>
      </c>
      <c r="C238" s="173"/>
      <c r="D238" s="173"/>
      <c r="E238" s="21"/>
      <c r="F238" s="21"/>
      <c r="G238" s="21"/>
      <c r="H238" s="21"/>
      <c r="I238" s="9"/>
      <c r="J238" s="173"/>
      <c r="K238" s="22"/>
      <c r="M238" s="14"/>
      <c r="N238" s="14"/>
      <c r="O238" s="14"/>
      <c r="P238" s="179"/>
      <c r="Q238" s="179"/>
      <c r="R238" s="179"/>
      <c r="S238" s="179"/>
      <c r="T238" s="99"/>
      <c r="U238" s="14"/>
      <c r="V238" s="14"/>
    </row>
    <row r="239" spans="1:22" ht="19.5" customHeight="1">
      <c r="A239" s="182"/>
      <c r="B239" s="183" t="s">
        <v>232</v>
      </c>
      <c r="C239" s="173">
        <v>2</v>
      </c>
      <c r="D239" s="173"/>
      <c r="E239" s="21">
        <v>18.260000000000002</v>
      </c>
      <c r="F239" s="21"/>
      <c r="G239" s="21"/>
      <c r="H239" s="21"/>
      <c r="I239" s="9">
        <f>C239*E239</f>
        <v>36.520000000000003</v>
      </c>
      <c r="J239" s="173" t="s">
        <v>56</v>
      </c>
      <c r="K239" s="181"/>
      <c r="M239" s="14"/>
      <c r="N239" s="14"/>
      <c r="O239" s="14"/>
      <c r="P239" s="179"/>
      <c r="Q239" s="179"/>
      <c r="R239" s="179"/>
      <c r="S239" s="179"/>
      <c r="T239" s="99"/>
      <c r="U239" s="14"/>
      <c r="V239" s="14"/>
    </row>
    <row r="240" spans="1:22" ht="19.5" customHeight="1">
      <c r="A240" s="20"/>
      <c r="B240" s="183" t="s">
        <v>231</v>
      </c>
      <c r="C240" s="173">
        <v>2</v>
      </c>
      <c r="D240" s="173"/>
      <c r="E240" s="21">
        <v>18.260000000000002</v>
      </c>
      <c r="F240" s="21"/>
      <c r="G240" s="21"/>
      <c r="H240" s="21"/>
      <c r="I240" s="9">
        <f>C240*E240</f>
        <v>36.520000000000003</v>
      </c>
      <c r="J240" s="173" t="s">
        <v>56</v>
      </c>
      <c r="K240" s="22"/>
      <c r="M240" s="98"/>
      <c r="N240" s="14"/>
      <c r="O240" s="14"/>
      <c r="P240" s="179"/>
      <c r="Q240" s="179"/>
      <c r="R240" s="179"/>
      <c r="S240" s="179"/>
      <c r="T240" s="99"/>
      <c r="U240" s="14"/>
      <c r="V240" s="14"/>
    </row>
    <row r="241" spans="1:22" ht="19.5" customHeight="1">
      <c r="A241" s="20"/>
      <c r="B241" s="183" t="s">
        <v>230</v>
      </c>
      <c r="C241" s="20">
        <v>1</v>
      </c>
      <c r="D241" s="20"/>
      <c r="E241" s="21">
        <v>29.26</v>
      </c>
      <c r="F241" s="21"/>
      <c r="G241" s="21"/>
      <c r="H241" s="21"/>
      <c r="I241" s="9">
        <f>C241*E241</f>
        <v>29.26</v>
      </c>
      <c r="J241" s="183" t="s">
        <v>56</v>
      </c>
      <c r="K241" s="22"/>
      <c r="M241" s="14"/>
      <c r="N241" s="14"/>
      <c r="O241" s="14"/>
      <c r="P241" s="179"/>
      <c r="Q241" s="179"/>
      <c r="R241" s="179"/>
      <c r="S241" s="179"/>
      <c r="T241" s="99"/>
      <c r="U241" s="14"/>
      <c r="V241" s="14"/>
    </row>
    <row r="242" spans="1:22" ht="19.5" customHeight="1">
      <c r="A242" s="20"/>
      <c r="B242" s="173" t="s">
        <v>233</v>
      </c>
      <c r="C242" s="173">
        <v>4</v>
      </c>
      <c r="D242" s="173"/>
      <c r="E242" s="21">
        <v>23.23</v>
      </c>
      <c r="F242" s="21"/>
      <c r="G242" s="21"/>
      <c r="H242" s="21"/>
      <c r="I242" s="9">
        <f>C242*E242</f>
        <v>92.92</v>
      </c>
      <c r="J242" s="173" t="s">
        <v>56</v>
      </c>
      <c r="K242" s="22"/>
      <c r="M242" s="14"/>
      <c r="N242" s="14"/>
      <c r="O242" s="14"/>
      <c r="P242" s="179"/>
      <c r="Q242" s="179"/>
      <c r="R242" s="179"/>
      <c r="S242" s="179"/>
      <c r="T242" s="99"/>
      <c r="U242" s="14"/>
      <c r="V242" s="14"/>
    </row>
    <row r="243" spans="1:22" ht="19.5" customHeight="1">
      <c r="A243" s="20"/>
      <c r="B243" s="173" t="s">
        <v>223</v>
      </c>
      <c r="C243" s="173">
        <v>2</v>
      </c>
      <c r="D243" s="173"/>
      <c r="E243" s="21">
        <v>7.68</v>
      </c>
      <c r="F243" s="21"/>
      <c r="G243" s="21"/>
      <c r="H243" s="21"/>
      <c r="I243" s="9">
        <f>C243*E243</f>
        <v>15.36</v>
      </c>
      <c r="J243" s="182" t="s">
        <v>56</v>
      </c>
      <c r="K243" s="24"/>
      <c r="M243" s="14"/>
      <c r="N243" s="14"/>
      <c r="O243" s="14"/>
      <c r="P243" s="179"/>
      <c r="Q243" s="179"/>
      <c r="R243" s="179"/>
      <c r="S243" s="179"/>
      <c r="T243" s="99"/>
      <c r="U243" s="14"/>
      <c r="V243" s="14"/>
    </row>
    <row r="244" spans="1:22" ht="19.5" customHeight="1">
      <c r="A244" s="150"/>
      <c r="B244" s="181" t="s">
        <v>281</v>
      </c>
      <c r="C244" s="173">
        <v>1</v>
      </c>
      <c r="D244" s="173">
        <v>96</v>
      </c>
      <c r="E244" s="21">
        <v>0.17</v>
      </c>
      <c r="F244" s="21"/>
      <c r="G244" s="21"/>
      <c r="H244" s="21"/>
      <c r="I244" s="9">
        <f>C244*D244*E244</f>
        <v>16.32</v>
      </c>
      <c r="J244" s="181" t="s">
        <v>56</v>
      </c>
      <c r="K244" s="148">
        <f>I244+I243+I242+I241+I240+I239</f>
        <v>226.9</v>
      </c>
      <c r="M244" s="14"/>
      <c r="N244" s="14"/>
      <c r="O244" s="14"/>
      <c r="P244" s="179"/>
      <c r="Q244" s="179"/>
      <c r="R244" s="179"/>
      <c r="S244" s="179"/>
      <c r="T244" s="99"/>
      <c r="U244" s="14"/>
      <c r="V244" s="14"/>
    </row>
    <row r="245" spans="1:22" ht="19.5" customHeight="1">
      <c r="A245" s="150"/>
      <c r="B245" s="174"/>
      <c r="C245" s="173"/>
      <c r="D245" s="173"/>
      <c r="E245" s="21"/>
      <c r="F245" s="21"/>
      <c r="G245" s="21"/>
      <c r="H245" s="21"/>
      <c r="I245" s="9"/>
      <c r="J245" s="173"/>
      <c r="K245" s="148"/>
      <c r="M245" s="98"/>
      <c r="N245" s="14"/>
      <c r="O245" s="14"/>
      <c r="P245" s="179"/>
      <c r="Q245" s="179"/>
      <c r="R245" s="179"/>
      <c r="S245" s="179"/>
      <c r="T245" s="99"/>
      <c r="U245" s="42"/>
      <c r="V245" s="14"/>
    </row>
    <row r="246" spans="1:22" ht="19.5" customHeight="1">
      <c r="A246" s="150">
        <v>16</v>
      </c>
      <c r="B246" s="294" t="s">
        <v>282</v>
      </c>
      <c r="C246" s="294"/>
      <c r="D246" s="294"/>
      <c r="E246" s="21"/>
      <c r="F246" s="21"/>
      <c r="G246" s="21"/>
      <c r="H246" s="21"/>
      <c r="I246" s="9"/>
      <c r="J246" s="150"/>
      <c r="K246" s="149"/>
    </row>
    <row r="247" spans="1:22" ht="19.5" customHeight="1">
      <c r="A247" s="150"/>
      <c r="B247" s="157" t="s">
        <v>234</v>
      </c>
      <c r="C247" s="150">
        <v>1</v>
      </c>
      <c r="D247" s="150"/>
      <c r="E247" s="21">
        <v>64.75</v>
      </c>
      <c r="F247" s="21">
        <v>34.75</v>
      </c>
      <c r="G247" s="303" t="s">
        <v>357</v>
      </c>
      <c r="H247" s="304"/>
      <c r="I247" s="9">
        <f>C247*E247*F247*1.077</f>
        <v>2423.3173124999998</v>
      </c>
      <c r="J247" s="186" t="s">
        <v>64</v>
      </c>
      <c r="K247" s="185">
        <f>I247</f>
        <v>2423.3173124999998</v>
      </c>
    </row>
    <row r="248" spans="1:22" ht="19.5" customHeight="1">
      <c r="A248" s="150"/>
      <c r="B248" s="150"/>
      <c r="C248" s="150"/>
      <c r="D248" s="150"/>
      <c r="E248" s="21"/>
      <c r="F248" s="21"/>
      <c r="G248" s="21"/>
      <c r="H248" s="21"/>
      <c r="I248" s="9"/>
      <c r="J248" s="150"/>
      <c r="K248" s="149"/>
    </row>
    <row r="249" spans="1:22" ht="19.5" customHeight="1">
      <c r="A249" s="150">
        <v>17</v>
      </c>
      <c r="B249" s="184" t="s">
        <v>283</v>
      </c>
      <c r="C249" s="150"/>
      <c r="D249" s="150"/>
      <c r="E249" s="21"/>
      <c r="F249" s="21"/>
      <c r="G249" s="21"/>
      <c r="H249" s="21"/>
      <c r="I249" s="9"/>
      <c r="J249" s="150"/>
      <c r="K249" s="148"/>
    </row>
    <row r="250" spans="1:22" ht="19.5" customHeight="1">
      <c r="A250" s="150"/>
      <c r="B250" s="157" t="s">
        <v>235</v>
      </c>
      <c r="C250" s="150">
        <v>1</v>
      </c>
      <c r="D250" s="150"/>
      <c r="E250" s="21">
        <v>36</v>
      </c>
      <c r="F250" s="30"/>
      <c r="G250" s="30"/>
      <c r="H250" s="31"/>
      <c r="I250" s="32">
        <f>C250*E250</f>
        <v>36</v>
      </c>
      <c r="J250" s="33" t="s">
        <v>56</v>
      </c>
      <c r="K250" s="30"/>
    </row>
    <row r="251" spans="1:22" ht="19.5" customHeight="1">
      <c r="A251" s="150"/>
      <c r="B251" s="157" t="s">
        <v>236</v>
      </c>
      <c r="C251" s="150">
        <v>4</v>
      </c>
      <c r="D251" s="150"/>
      <c r="E251" s="21">
        <v>21.9</v>
      </c>
      <c r="F251" s="21"/>
      <c r="G251" s="21"/>
      <c r="H251" s="21"/>
      <c r="I251" s="159">
        <f>C251*E251</f>
        <v>87.6</v>
      </c>
      <c r="J251" s="149" t="s">
        <v>56</v>
      </c>
      <c r="K251" s="34">
        <f>I250+I251</f>
        <v>123.6</v>
      </c>
    </row>
    <row r="252" spans="1:22" ht="19.5" customHeight="1">
      <c r="A252" s="150"/>
      <c r="B252" s="151"/>
      <c r="C252" s="150"/>
      <c r="D252" s="150"/>
      <c r="E252" s="21"/>
      <c r="F252" s="21"/>
      <c r="G252" s="21"/>
      <c r="H252" s="21"/>
      <c r="I252" s="9"/>
      <c r="J252" s="149"/>
      <c r="K252" s="148"/>
    </row>
    <row r="253" spans="1:22" ht="19.5" customHeight="1">
      <c r="A253" s="150">
        <v>18</v>
      </c>
      <c r="B253" s="153" t="s">
        <v>240</v>
      </c>
      <c r="C253" s="150"/>
      <c r="D253" s="150"/>
      <c r="E253" s="21"/>
      <c r="F253" s="21"/>
      <c r="G253" s="21"/>
      <c r="H253" s="21"/>
      <c r="I253" s="9"/>
      <c r="J253" s="149"/>
      <c r="K253" s="148"/>
    </row>
    <row r="254" spans="1:22" ht="19.5" customHeight="1">
      <c r="A254" s="150"/>
      <c r="B254" s="157" t="s">
        <v>61</v>
      </c>
      <c r="C254" s="150">
        <v>2</v>
      </c>
      <c r="D254" s="150"/>
      <c r="E254" s="21">
        <v>64.75</v>
      </c>
      <c r="F254" s="21"/>
      <c r="G254" s="21"/>
      <c r="H254" s="21"/>
      <c r="I254" s="9">
        <f>C254*E254</f>
        <v>129.5</v>
      </c>
      <c r="J254" s="156" t="s">
        <v>56</v>
      </c>
      <c r="K254" s="148"/>
    </row>
    <row r="255" spans="1:22" ht="19.5" customHeight="1">
      <c r="A255" s="150"/>
      <c r="B255" s="157" t="s">
        <v>237</v>
      </c>
      <c r="C255" s="150">
        <v>2</v>
      </c>
      <c r="D255" s="150"/>
      <c r="E255" s="21">
        <v>28.75</v>
      </c>
      <c r="F255" s="21"/>
      <c r="G255" s="21"/>
      <c r="H255" s="21"/>
      <c r="I255" s="9">
        <f>C255*E255</f>
        <v>57.5</v>
      </c>
      <c r="J255" s="156" t="s">
        <v>56</v>
      </c>
      <c r="K255" s="148"/>
    </row>
    <row r="256" spans="1:22" ht="19.5" customHeight="1">
      <c r="A256" s="150"/>
      <c r="B256" s="157" t="s">
        <v>238</v>
      </c>
      <c r="C256" s="150">
        <v>2</v>
      </c>
      <c r="D256" s="150"/>
      <c r="E256" s="21">
        <v>6.46</v>
      </c>
      <c r="F256" s="21"/>
      <c r="G256" s="21"/>
      <c r="H256" s="21"/>
      <c r="I256" s="9">
        <f>C256*E256</f>
        <v>12.92</v>
      </c>
      <c r="J256" s="155" t="s">
        <v>56</v>
      </c>
      <c r="K256" s="148">
        <f>I254+I255+I256</f>
        <v>199.92</v>
      </c>
    </row>
    <row r="257" spans="1:13" ht="19.5" customHeight="1">
      <c r="A257" s="156"/>
      <c r="B257" s="157"/>
      <c r="C257" s="156"/>
      <c r="D257" s="156"/>
      <c r="E257" s="21"/>
      <c r="F257" s="21"/>
      <c r="G257" s="21"/>
      <c r="H257" s="21"/>
      <c r="I257" s="9"/>
      <c r="J257" s="155"/>
      <c r="K257" s="154"/>
    </row>
    <row r="258" spans="1:13" ht="19.5" customHeight="1">
      <c r="A258" s="156">
        <v>19</v>
      </c>
      <c r="B258" s="298" t="s">
        <v>239</v>
      </c>
      <c r="C258" s="300"/>
      <c r="D258" s="300"/>
      <c r="E258" s="49"/>
      <c r="F258" s="21"/>
      <c r="G258" s="21"/>
      <c r="H258" s="21"/>
      <c r="I258" s="9"/>
      <c r="J258" s="156"/>
      <c r="K258" s="155"/>
    </row>
    <row r="259" spans="1:13" ht="19.5" customHeight="1">
      <c r="A259" s="156"/>
      <c r="B259" s="156" t="s">
        <v>42</v>
      </c>
      <c r="C259" s="156">
        <v>3</v>
      </c>
      <c r="D259" s="156"/>
      <c r="E259" s="21">
        <f>20-(4.5/2/12)</f>
        <v>19.8125</v>
      </c>
      <c r="F259" s="21">
        <v>24</v>
      </c>
      <c r="G259" s="21"/>
      <c r="H259" s="21"/>
      <c r="I259" s="9">
        <f>C259*E259*F259</f>
        <v>1426.5</v>
      </c>
      <c r="J259" s="156" t="s">
        <v>64</v>
      </c>
      <c r="K259" s="155"/>
    </row>
    <row r="260" spans="1:13" ht="19.5" customHeight="1">
      <c r="A260" s="156"/>
      <c r="B260" s="156" t="s">
        <v>25</v>
      </c>
      <c r="C260" s="156">
        <v>1</v>
      </c>
      <c r="D260" s="156"/>
      <c r="E260" s="21">
        <v>60</v>
      </c>
      <c r="F260" s="21">
        <v>5.67</v>
      </c>
      <c r="G260" s="21"/>
      <c r="H260" s="21"/>
      <c r="I260" s="9">
        <f>C260*E260*F260</f>
        <v>340.2</v>
      </c>
      <c r="J260" s="156" t="s">
        <v>64</v>
      </c>
      <c r="K260" s="155"/>
    </row>
    <row r="261" spans="1:13" ht="19.5" customHeight="1">
      <c r="A261" s="156"/>
      <c r="B261" s="187" t="s">
        <v>285</v>
      </c>
      <c r="C261" s="156">
        <v>1</v>
      </c>
      <c r="D261" s="156"/>
      <c r="E261" s="21">
        <f>64.75+64.75+28.75+28.75</f>
        <v>187</v>
      </c>
      <c r="F261" s="21">
        <v>2</v>
      </c>
      <c r="G261" s="21"/>
      <c r="H261" s="21"/>
      <c r="I261" s="9">
        <f>C261*E261*F261</f>
        <v>374</v>
      </c>
      <c r="J261" s="156" t="s">
        <v>64</v>
      </c>
      <c r="K261" s="154"/>
    </row>
    <row r="262" spans="1:13" ht="19.5" customHeight="1">
      <c r="A262" s="156"/>
      <c r="B262" s="187" t="s">
        <v>284</v>
      </c>
      <c r="C262" s="156">
        <v>2</v>
      </c>
      <c r="D262" s="156"/>
      <c r="E262" s="21">
        <f>E256</f>
        <v>6.46</v>
      </c>
      <c r="F262" s="21">
        <v>2</v>
      </c>
      <c r="G262" s="21"/>
      <c r="H262" s="21"/>
      <c r="I262" s="9">
        <f>C262*E262*F262</f>
        <v>25.84</v>
      </c>
      <c r="J262" s="155" t="s">
        <v>64</v>
      </c>
      <c r="K262" s="154">
        <f>I259+I260+I261+I262</f>
        <v>2166.54</v>
      </c>
    </row>
    <row r="263" spans="1:13" ht="19.5" customHeight="1">
      <c r="A263" s="156"/>
      <c r="B263" s="157"/>
      <c r="C263" s="156"/>
      <c r="D263" s="156"/>
      <c r="E263" s="21"/>
      <c r="F263" s="21"/>
      <c r="G263" s="21"/>
      <c r="H263" s="21"/>
      <c r="I263" s="9"/>
      <c r="J263" s="155"/>
      <c r="K263" s="154"/>
    </row>
    <row r="264" spans="1:13" ht="19.5" customHeight="1">
      <c r="A264" s="156">
        <v>20</v>
      </c>
      <c r="B264" s="153" t="s">
        <v>241</v>
      </c>
      <c r="C264" s="156"/>
      <c r="D264" s="156"/>
      <c r="E264" s="21"/>
      <c r="F264" s="21"/>
      <c r="G264" s="21"/>
      <c r="H264" s="21"/>
      <c r="I264" s="9"/>
      <c r="J264" s="155"/>
      <c r="K264" s="154"/>
    </row>
    <row r="265" spans="1:13" ht="19.5" customHeight="1">
      <c r="A265" s="156"/>
      <c r="B265" s="157" t="s">
        <v>27</v>
      </c>
      <c r="C265" s="156">
        <v>3</v>
      </c>
      <c r="D265" s="156"/>
      <c r="E265" s="21">
        <f>(E53*2)+(G53*2)+1.67</f>
        <v>27.33</v>
      </c>
      <c r="F265" s="21"/>
      <c r="G265" s="21"/>
      <c r="H265" s="21"/>
      <c r="I265" s="9">
        <f>C265*E265</f>
        <v>81.99</v>
      </c>
      <c r="J265" s="155" t="s">
        <v>56</v>
      </c>
      <c r="K265" s="154">
        <f>I265</f>
        <v>81.99</v>
      </c>
    </row>
    <row r="266" spans="1:13" ht="19.5" customHeight="1">
      <c r="A266" s="156"/>
      <c r="B266" s="157"/>
      <c r="C266" s="156"/>
      <c r="D266" s="156"/>
      <c r="E266" s="21"/>
      <c r="F266" s="21"/>
      <c r="G266" s="21"/>
      <c r="H266" s="21"/>
      <c r="I266" s="9"/>
      <c r="J266" s="155"/>
      <c r="K266" s="154"/>
    </row>
    <row r="267" spans="1:13" ht="19.5" customHeight="1">
      <c r="A267" s="156">
        <v>21</v>
      </c>
      <c r="B267" s="153" t="s">
        <v>242</v>
      </c>
      <c r="C267" s="156"/>
      <c r="D267" s="156"/>
      <c r="E267" s="21"/>
      <c r="F267" s="21"/>
      <c r="G267" s="21"/>
      <c r="H267" s="21"/>
      <c r="I267" s="9"/>
      <c r="J267" s="155"/>
      <c r="K267" s="154"/>
    </row>
    <row r="268" spans="1:13" ht="19.5" customHeight="1">
      <c r="A268" s="156"/>
      <c r="B268" s="157" t="s">
        <v>40</v>
      </c>
      <c r="C268" s="156">
        <v>3</v>
      </c>
      <c r="D268" s="156"/>
      <c r="E268" s="21">
        <v>4</v>
      </c>
      <c r="F268" s="21"/>
      <c r="G268" s="21">
        <v>7</v>
      </c>
      <c r="H268" s="21"/>
      <c r="I268" s="9">
        <f>C268*E268*G268</f>
        <v>84</v>
      </c>
      <c r="J268" s="155" t="s">
        <v>64</v>
      </c>
      <c r="K268" s="154">
        <f>I268</f>
        <v>84</v>
      </c>
    </row>
    <row r="269" spans="1:13" ht="19.5" customHeight="1">
      <c r="A269" s="156"/>
      <c r="B269" s="157"/>
      <c r="C269" s="156"/>
      <c r="D269" s="156"/>
      <c r="E269" s="21"/>
      <c r="F269" s="21"/>
      <c r="G269" s="21"/>
      <c r="H269" s="21"/>
      <c r="I269" s="9"/>
      <c r="J269" s="155"/>
      <c r="K269" s="154"/>
    </row>
    <row r="270" spans="1:13" ht="19.5" customHeight="1">
      <c r="A270" s="156">
        <v>22</v>
      </c>
      <c r="B270" s="153" t="s">
        <v>41</v>
      </c>
      <c r="C270" s="156"/>
      <c r="D270" s="156"/>
      <c r="E270" s="21"/>
      <c r="F270" s="21"/>
      <c r="G270" s="21"/>
      <c r="H270" s="21"/>
      <c r="I270" s="9"/>
      <c r="J270" s="155"/>
      <c r="K270" s="154"/>
    </row>
    <row r="271" spans="1:13" ht="19.5" customHeight="1">
      <c r="A271" s="20"/>
      <c r="B271" s="157" t="s">
        <v>26</v>
      </c>
      <c r="C271" s="20">
        <v>13</v>
      </c>
      <c r="D271" s="20"/>
      <c r="E271" s="21">
        <f>E52</f>
        <v>6</v>
      </c>
      <c r="F271" s="21"/>
      <c r="G271" s="21">
        <f>G52</f>
        <v>5.5</v>
      </c>
      <c r="H271" s="21"/>
      <c r="I271" s="9">
        <f>C271*E271*G271</f>
        <v>429</v>
      </c>
      <c r="J271" s="155" t="s">
        <v>64</v>
      </c>
      <c r="K271" s="154">
        <f>I271</f>
        <v>429</v>
      </c>
      <c r="M271" s="5"/>
    </row>
    <row r="272" spans="1:13" ht="19.5" customHeight="1">
      <c r="A272" s="20"/>
      <c r="B272" s="23"/>
      <c r="C272" s="20"/>
      <c r="D272" s="20"/>
      <c r="E272" s="21"/>
      <c r="F272" s="21"/>
      <c r="G272" s="21"/>
      <c r="H272" s="21"/>
      <c r="I272" s="9"/>
      <c r="J272" s="20"/>
      <c r="K272" s="22"/>
    </row>
    <row r="273" spans="1:11" ht="19.5" customHeight="1">
      <c r="A273" s="20">
        <v>23</v>
      </c>
      <c r="B273" s="49" t="s">
        <v>243</v>
      </c>
      <c r="C273" s="20"/>
      <c r="D273" s="20"/>
      <c r="E273" s="21"/>
      <c r="F273" s="21"/>
      <c r="G273" s="21"/>
      <c r="H273" s="21"/>
      <c r="I273" s="9"/>
      <c r="J273" s="20"/>
      <c r="K273" s="22"/>
    </row>
    <row r="274" spans="1:11" ht="19.5" customHeight="1">
      <c r="A274" s="20"/>
      <c r="B274" s="187" t="s">
        <v>286</v>
      </c>
      <c r="C274" s="20">
        <v>3</v>
      </c>
      <c r="D274" s="20"/>
      <c r="E274" s="21">
        <f>E268</f>
        <v>4</v>
      </c>
      <c r="F274" s="21"/>
      <c r="G274" s="21">
        <v>1.25</v>
      </c>
      <c r="H274" s="21"/>
      <c r="I274" s="9">
        <f>C274*E274*G274</f>
        <v>15</v>
      </c>
      <c r="J274" s="155" t="s">
        <v>64</v>
      </c>
      <c r="K274" s="154">
        <f>I274</f>
        <v>15</v>
      </c>
    </row>
    <row r="275" spans="1:11" ht="19.5" customHeight="1">
      <c r="A275" s="20"/>
      <c r="B275" s="20"/>
      <c r="C275" s="20"/>
      <c r="D275" s="20"/>
      <c r="E275" s="21"/>
      <c r="F275" s="21"/>
      <c r="G275" s="21"/>
      <c r="H275" s="21"/>
      <c r="I275" s="9"/>
      <c r="J275" s="22"/>
      <c r="K275" s="24"/>
    </row>
    <row r="276" spans="1:11" ht="19.5" customHeight="1">
      <c r="A276" s="20">
        <v>24</v>
      </c>
      <c r="B276" s="207" t="s">
        <v>244</v>
      </c>
      <c r="C276" s="20"/>
      <c r="D276" s="20"/>
      <c r="E276" s="21"/>
      <c r="F276" s="21"/>
      <c r="G276" s="21"/>
      <c r="H276" s="21"/>
      <c r="I276" s="9"/>
      <c r="J276" s="20"/>
      <c r="K276" s="22"/>
    </row>
    <row r="277" spans="1:11" ht="19.5" customHeight="1">
      <c r="A277" s="20"/>
      <c r="B277" s="162" t="s">
        <v>245</v>
      </c>
      <c r="C277" s="156">
        <v>1</v>
      </c>
      <c r="D277" s="49"/>
      <c r="E277" s="303" t="s">
        <v>250</v>
      </c>
      <c r="F277" s="307"/>
      <c r="G277" s="304"/>
      <c r="H277" s="21"/>
      <c r="I277" s="9">
        <f>K71</f>
        <v>5482.5793000000003</v>
      </c>
      <c r="J277" s="157" t="s">
        <v>64</v>
      </c>
      <c r="K277" s="22"/>
    </row>
    <row r="278" spans="1:11" ht="19.5" customHeight="1">
      <c r="A278" s="20"/>
      <c r="B278" s="157" t="s">
        <v>246</v>
      </c>
      <c r="C278" s="156">
        <v>1</v>
      </c>
      <c r="D278" s="20"/>
      <c r="E278" s="303" t="s">
        <v>251</v>
      </c>
      <c r="F278" s="305"/>
      <c r="G278" s="306"/>
      <c r="H278" s="21"/>
      <c r="I278" s="9">
        <f>K262</f>
        <v>2166.54</v>
      </c>
      <c r="J278" s="155" t="s">
        <v>64</v>
      </c>
      <c r="K278" s="24">
        <f>I277+I278</f>
        <v>7649.1193000000003</v>
      </c>
    </row>
    <row r="279" spans="1:11" ht="19.5" customHeight="1">
      <c r="A279" s="20"/>
      <c r="B279" s="20"/>
      <c r="C279" s="20"/>
      <c r="D279" s="20"/>
      <c r="E279" s="21"/>
      <c r="F279" s="21"/>
      <c r="G279" s="21"/>
      <c r="H279" s="21"/>
      <c r="I279" s="9"/>
      <c r="J279" s="20"/>
      <c r="K279" s="22"/>
    </row>
    <row r="280" spans="1:11" ht="19.5" customHeight="1">
      <c r="A280" s="20">
        <v>25</v>
      </c>
      <c r="B280" s="153" t="s">
        <v>247</v>
      </c>
      <c r="C280" s="20"/>
      <c r="D280" s="20"/>
      <c r="E280" s="21"/>
      <c r="F280" s="21"/>
      <c r="G280" s="21"/>
      <c r="H280" s="21"/>
      <c r="I280" s="9"/>
      <c r="J280" s="20"/>
      <c r="K280" s="22"/>
    </row>
    <row r="281" spans="1:11" ht="19.5" customHeight="1">
      <c r="A281" s="20"/>
      <c r="B281" s="157" t="s">
        <v>248</v>
      </c>
      <c r="C281" s="20">
        <v>1</v>
      </c>
      <c r="D281" s="20"/>
      <c r="E281" s="158">
        <f>K256</f>
        <v>199.92</v>
      </c>
      <c r="F281" s="21">
        <f>(8+1)/12</f>
        <v>0.75</v>
      </c>
      <c r="G281" s="147"/>
      <c r="H281" s="21"/>
      <c r="I281" s="9">
        <f>C281*E281*F281</f>
        <v>149.94</v>
      </c>
      <c r="J281" s="156" t="s">
        <v>64</v>
      </c>
      <c r="K281" s="24"/>
    </row>
    <row r="282" spans="1:11" ht="19.5" customHeight="1">
      <c r="A282" s="20"/>
      <c r="B282" s="157" t="s">
        <v>249</v>
      </c>
      <c r="C282" s="20">
        <v>1</v>
      </c>
      <c r="D282" s="20"/>
      <c r="E282" s="158">
        <f>K265</f>
        <v>81.99</v>
      </c>
      <c r="F282" s="21">
        <f>(5+2+2)/12</f>
        <v>0.75</v>
      </c>
      <c r="G282" s="147"/>
      <c r="H282" s="21"/>
      <c r="I282" s="9">
        <f>C282*E282*F282</f>
        <v>61.492499999999993</v>
      </c>
      <c r="J282" s="157" t="s">
        <v>64</v>
      </c>
      <c r="K282" s="22"/>
    </row>
    <row r="283" spans="1:11" ht="19.5" customHeight="1">
      <c r="A283" s="20"/>
      <c r="B283" s="162" t="s">
        <v>27</v>
      </c>
      <c r="C283" s="156">
        <v>2</v>
      </c>
      <c r="D283" s="156"/>
      <c r="E283" s="158">
        <f>K268</f>
        <v>84</v>
      </c>
      <c r="F283" s="163"/>
      <c r="G283" s="163"/>
      <c r="H283" s="21"/>
      <c r="I283" s="9">
        <f>C283*E283</f>
        <v>168</v>
      </c>
      <c r="J283" s="155" t="s">
        <v>64</v>
      </c>
      <c r="K283" s="154">
        <f>I281+I282+I283</f>
        <v>379.4325</v>
      </c>
    </row>
    <row r="284" spans="1:11" ht="19.5" customHeight="1">
      <c r="A284" s="20"/>
      <c r="B284" s="20"/>
      <c r="C284" s="20"/>
      <c r="D284" s="20"/>
      <c r="E284" s="21"/>
      <c r="F284" s="21"/>
      <c r="G284" s="21"/>
      <c r="H284" s="21"/>
      <c r="I284" s="9"/>
      <c r="J284" s="22"/>
      <c r="K284" s="24"/>
    </row>
    <row r="285" spans="1:11" ht="19.5" customHeight="1">
      <c r="A285" s="20">
        <v>26</v>
      </c>
      <c r="B285" s="153" t="s">
        <v>47</v>
      </c>
      <c r="C285" s="20"/>
      <c r="D285" s="20"/>
      <c r="E285" s="21"/>
      <c r="F285" s="21"/>
      <c r="G285" s="21"/>
      <c r="H285" s="21"/>
      <c r="I285" s="9"/>
      <c r="J285" s="20"/>
      <c r="K285" s="22"/>
    </row>
    <row r="286" spans="1:11" ht="19.5" customHeight="1">
      <c r="A286" s="20"/>
      <c r="B286" s="162" t="s">
        <v>48</v>
      </c>
      <c r="C286" s="156">
        <v>1</v>
      </c>
      <c r="D286" s="20"/>
      <c r="E286" s="21">
        <f>64.75+64.75+28.75+28.75</f>
        <v>187</v>
      </c>
      <c r="F286" s="21"/>
      <c r="G286" s="21"/>
      <c r="H286" s="21"/>
      <c r="I286" s="9">
        <f>C286*E286</f>
        <v>187</v>
      </c>
      <c r="J286" s="155" t="s">
        <v>56</v>
      </c>
      <c r="K286" s="154">
        <f>I286</f>
        <v>187</v>
      </c>
    </row>
    <row r="287" spans="1:11" ht="19.5" customHeight="1">
      <c r="A287" s="20"/>
      <c r="B287" s="20"/>
      <c r="C287" s="20"/>
      <c r="D287" s="20"/>
      <c r="E287" s="21"/>
      <c r="F287" s="21"/>
      <c r="G287" s="21"/>
      <c r="H287" s="21"/>
      <c r="I287" s="9"/>
      <c r="J287" s="20"/>
      <c r="K287" s="22"/>
    </row>
    <row r="288" spans="1:11" ht="19.5" customHeight="1">
      <c r="A288" s="20">
        <v>27</v>
      </c>
      <c r="B288" s="153" t="s">
        <v>252</v>
      </c>
      <c r="C288" s="20"/>
      <c r="D288" s="20"/>
      <c r="E288" s="21"/>
      <c r="F288" s="21"/>
      <c r="G288" s="21"/>
      <c r="H288" s="21"/>
      <c r="I288" s="9"/>
      <c r="J288" s="22"/>
      <c r="K288" s="24"/>
    </row>
    <row r="289" spans="1:19" ht="19.5" customHeight="1">
      <c r="A289" s="20"/>
      <c r="B289" s="157" t="s">
        <v>253</v>
      </c>
      <c r="C289" s="20">
        <v>2</v>
      </c>
      <c r="D289" s="20"/>
      <c r="E289" s="21">
        <v>15.5</v>
      </c>
      <c r="F289" s="21"/>
      <c r="G289" s="21"/>
      <c r="H289" s="21"/>
      <c r="I289" s="9">
        <f>C289*E289</f>
        <v>31</v>
      </c>
      <c r="J289" s="157" t="s">
        <v>56</v>
      </c>
      <c r="K289" s="22"/>
    </row>
    <row r="290" spans="1:19" ht="19.5" customHeight="1">
      <c r="A290" s="20"/>
      <c r="B290" s="162" t="s">
        <v>254</v>
      </c>
      <c r="C290" s="156">
        <v>2</v>
      </c>
      <c r="D290" s="20"/>
      <c r="E290" s="21">
        <v>18</v>
      </c>
      <c r="F290" s="21"/>
      <c r="G290" s="21"/>
      <c r="H290" s="21"/>
      <c r="I290" s="9">
        <f>C290*E290</f>
        <v>36</v>
      </c>
      <c r="J290" s="209" t="s">
        <v>56</v>
      </c>
      <c r="K290" s="154">
        <f>I289+I290</f>
        <v>67</v>
      </c>
    </row>
    <row r="291" spans="1:19" ht="19.5" customHeight="1">
      <c r="A291" s="20"/>
      <c r="B291" s="20"/>
      <c r="C291" s="20"/>
      <c r="D291" s="20"/>
      <c r="E291" s="21"/>
      <c r="F291" s="21"/>
      <c r="G291" s="21"/>
      <c r="H291" s="21"/>
      <c r="I291" s="9"/>
      <c r="J291" s="20"/>
      <c r="K291" s="22"/>
    </row>
    <row r="292" spans="1:19" ht="19.5" customHeight="1">
      <c r="A292" s="20">
        <v>28</v>
      </c>
      <c r="B292" s="213" t="s">
        <v>323</v>
      </c>
      <c r="C292" s="20"/>
      <c r="D292" s="20"/>
      <c r="E292" s="21"/>
      <c r="F292" s="21"/>
      <c r="G292" s="21"/>
      <c r="H292" s="21"/>
      <c r="I292" s="9"/>
      <c r="J292" s="22"/>
      <c r="K292" s="24"/>
    </row>
    <row r="293" spans="1:19" ht="19.5" customHeight="1">
      <c r="A293" s="20"/>
      <c r="B293" s="157" t="s">
        <v>46</v>
      </c>
      <c r="C293" s="20">
        <v>1</v>
      </c>
      <c r="D293" s="20"/>
      <c r="E293" s="21">
        <f>(67*2) +(37*2)</f>
        <v>208</v>
      </c>
      <c r="F293" s="21"/>
      <c r="G293" s="21">
        <v>16</v>
      </c>
      <c r="H293" s="21"/>
      <c r="I293" s="9">
        <f>C293*E293*G293</f>
        <v>3328</v>
      </c>
      <c r="J293" s="209" t="s">
        <v>64</v>
      </c>
      <c r="K293" s="154">
        <f>I293</f>
        <v>3328</v>
      </c>
    </row>
    <row r="294" spans="1:19" ht="19.5" customHeight="1">
      <c r="A294" s="20"/>
      <c r="B294" s="49"/>
      <c r="C294" s="161"/>
      <c r="D294" s="20"/>
      <c r="E294" s="21"/>
      <c r="F294" s="21"/>
      <c r="G294" s="21"/>
      <c r="H294" s="21"/>
      <c r="I294" s="9"/>
      <c r="J294" s="20"/>
      <c r="K294" s="22"/>
    </row>
    <row r="295" spans="1:19" ht="19.5" customHeight="1">
      <c r="A295" s="20">
        <v>29</v>
      </c>
      <c r="B295" s="153" t="s">
        <v>255</v>
      </c>
      <c r="C295" s="20">
        <v>2</v>
      </c>
      <c r="D295" s="20"/>
      <c r="E295" s="21"/>
      <c r="F295" s="21"/>
      <c r="G295" s="21"/>
      <c r="H295" s="21"/>
      <c r="I295" s="9">
        <f>C295</f>
        <v>2</v>
      </c>
      <c r="J295" s="209" t="s">
        <v>84</v>
      </c>
      <c r="K295" s="188">
        <f>I295</f>
        <v>2</v>
      </c>
    </row>
    <row r="296" spans="1:19" ht="19.5" customHeight="1">
      <c r="A296" s="20"/>
      <c r="B296" s="20"/>
      <c r="C296" s="20"/>
      <c r="D296" s="20"/>
      <c r="E296" s="21"/>
      <c r="F296" s="21"/>
      <c r="G296" s="21"/>
      <c r="H296" s="21"/>
      <c r="I296" s="9"/>
      <c r="J296" s="22"/>
      <c r="K296" s="24"/>
    </row>
    <row r="297" spans="1:19" ht="19.5" customHeight="1">
      <c r="A297" s="238">
        <v>30</v>
      </c>
      <c r="B297" s="231" t="s">
        <v>49</v>
      </c>
      <c r="C297" s="238"/>
      <c r="D297" s="238"/>
      <c r="E297" s="238"/>
      <c r="F297" s="21"/>
      <c r="G297" s="21"/>
      <c r="H297" s="21"/>
      <c r="I297" s="9"/>
      <c r="J297" s="238"/>
      <c r="K297" s="209"/>
    </row>
    <row r="298" spans="1:19" ht="19.5" customHeight="1" thickBot="1">
      <c r="A298" s="238"/>
      <c r="B298" s="231"/>
      <c r="C298" s="238"/>
      <c r="D298" s="238"/>
      <c r="E298" s="238"/>
      <c r="F298" s="21"/>
      <c r="G298" s="21"/>
      <c r="H298" s="21"/>
      <c r="I298" s="9"/>
      <c r="J298" s="238"/>
      <c r="K298" s="209"/>
    </row>
    <row r="299" spans="1:19" ht="19.5" customHeight="1">
      <c r="A299" s="342"/>
      <c r="B299" s="342"/>
      <c r="C299" s="342"/>
      <c r="D299" s="342"/>
      <c r="E299" s="342"/>
      <c r="F299" s="343"/>
      <c r="G299" s="343"/>
      <c r="H299" s="343"/>
      <c r="I299" s="344"/>
      <c r="J299" s="345"/>
      <c r="K299" s="341"/>
    </row>
    <row r="300" spans="1:19" ht="19.5" customHeight="1">
      <c r="A300" s="14"/>
      <c r="B300" s="14"/>
      <c r="C300" s="14"/>
      <c r="D300" s="14"/>
      <c r="E300" s="14"/>
      <c r="F300" s="273"/>
      <c r="G300" s="273"/>
      <c r="H300" s="273"/>
      <c r="I300" s="99"/>
      <c r="J300" s="14"/>
      <c r="K300" s="42"/>
    </row>
    <row r="301" spans="1:19" ht="19.5" customHeight="1">
      <c r="A301" s="14"/>
      <c r="B301" s="272"/>
      <c r="C301" s="14"/>
      <c r="D301" s="14"/>
      <c r="E301" s="14"/>
      <c r="F301" s="273"/>
      <c r="G301" s="273"/>
      <c r="H301" s="273"/>
      <c r="I301" s="99"/>
      <c r="J301" s="14"/>
      <c r="K301" s="42"/>
    </row>
    <row r="302" spans="1:19" ht="19.5" customHeight="1">
      <c r="A302" s="14"/>
      <c r="B302" s="14"/>
      <c r="C302" s="14"/>
      <c r="D302" s="14"/>
      <c r="E302" s="14"/>
      <c r="F302" s="273"/>
      <c r="G302" s="273"/>
      <c r="H302" s="273"/>
      <c r="I302" s="99"/>
      <c r="J302" s="42"/>
      <c r="K302" s="41"/>
      <c r="M302" s="14"/>
      <c r="N302" s="14"/>
      <c r="O302" s="194"/>
      <c r="P302" s="194"/>
      <c r="Q302" s="194"/>
      <c r="R302" s="194"/>
      <c r="S302" s="99"/>
    </row>
    <row r="303" spans="1:19" ht="19.5" customHeight="1">
      <c r="A303" s="14"/>
      <c r="B303" s="14"/>
      <c r="C303" s="14"/>
      <c r="D303" s="14"/>
      <c r="E303" s="14"/>
      <c r="F303" s="273"/>
      <c r="G303" s="273"/>
      <c r="H303" s="273"/>
      <c r="I303" s="99"/>
      <c r="J303" s="14"/>
      <c r="K303" s="42"/>
      <c r="M303" s="14"/>
      <c r="N303" s="14"/>
      <c r="O303" s="194"/>
      <c r="P303" s="194"/>
      <c r="Q303" s="194"/>
      <c r="R303" s="194"/>
      <c r="S303" s="99"/>
    </row>
    <row r="304" spans="1:19" ht="19.5" customHeight="1">
      <c r="A304" s="14"/>
      <c r="B304" s="272"/>
      <c r="C304" s="14"/>
      <c r="D304" s="14"/>
      <c r="E304" s="14"/>
      <c r="F304" s="273"/>
      <c r="G304" s="273"/>
      <c r="H304" s="273"/>
      <c r="I304" s="99"/>
      <c r="J304" s="14"/>
      <c r="K304" s="42"/>
    </row>
    <row r="305" spans="1:11" ht="19.5" customHeight="1">
      <c r="A305" s="14"/>
      <c r="B305" s="14"/>
      <c r="C305" s="14"/>
      <c r="D305" s="14"/>
      <c r="E305" s="14"/>
      <c r="F305" s="273"/>
      <c r="G305" s="273"/>
      <c r="H305" s="273"/>
      <c r="I305" s="99"/>
      <c r="J305" s="14"/>
      <c r="K305" s="41"/>
    </row>
    <row r="306" spans="1:11" ht="19.5" customHeight="1">
      <c r="A306" s="14"/>
      <c r="B306" s="14"/>
      <c r="C306" s="14"/>
      <c r="D306" s="14"/>
      <c r="E306" s="14"/>
      <c r="F306" s="273"/>
      <c r="G306" s="273"/>
      <c r="H306" s="273"/>
      <c r="I306" s="99"/>
      <c r="J306" s="42"/>
      <c r="K306" s="41"/>
    </row>
    <row r="307" spans="1:11" ht="19.5" customHeight="1">
      <c r="A307" s="14"/>
      <c r="B307" s="14"/>
      <c r="C307" s="14"/>
      <c r="D307" s="14"/>
      <c r="E307" s="14"/>
      <c r="F307" s="273"/>
      <c r="G307" s="273"/>
      <c r="H307" s="273"/>
      <c r="I307" s="99"/>
      <c r="J307" s="14"/>
      <c r="K307" s="42"/>
    </row>
    <row r="308" spans="1:11" ht="19.5" customHeight="1">
      <c r="A308" s="14"/>
      <c r="B308" s="272"/>
      <c r="C308" s="14"/>
      <c r="D308" s="14"/>
      <c r="E308" s="14"/>
      <c r="F308" s="273"/>
      <c r="G308" s="273"/>
      <c r="H308" s="273"/>
      <c r="I308" s="99"/>
      <c r="J308" s="14"/>
      <c r="K308" s="42"/>
    </row>
    <row r="309" spans="1:11" ht="19.5" customHeight="1">
      <c r="A309" s="14"/>
      <c r="B309" s="14"/>
      <c r="C309" s="14"/>
      <c r="D309" s="14"/>
      <c r="E309" s="14"/>
      <c r="F309" s="273"/>
      <c r="G309" s="273"/>
      <c r="H309" s="273"/>
      <c r="I309" s="99"/>
      <c r="J309" s="14"/>
      <c r="K309" s="41"/>
    </row>
    <row r="310" spans="1:11" ht="19.5" customHeight="1">
      <c r="A310" s="14"/>
      <c r="B310" s="14"/>
      <c r="C310" s="14"/>
      <c r="D310" s="14"/>
      <c r="E310" s="14"/>
      <c r="F310" s="273"/>
      <c r="G310" s="273"/>
      <c r="H310" s="273"/>
      <c r="I310" s="99"/>
      <c r="J310" s="42"/>
      <c r="K310" s="41"/>
    </row>
    <row r="311" spans="1:11" ht="19.5" customHeight="1">
      <c r="A311" s="14"/>
      <c r="B311" s="14"/>
      <c r="C311" s="14"/>
      <c r="D311" s="14"/>
      <c r="E311" s="14"/>
      <c r="F311" s="273"/>
      <c r="G311" s="273"/>
      <c r="H311" s="273"/>
      <c r="I311" s="99"/>
      <c r="J311" s="14"/>
      <c r="K311" s="42"/>
    </row>
    <row r="312" spans="1:11" ht="19.5" customHeight="1">
      <c r="A312" s="14"/>
      <c r="B312" s="43"/>
      <c r="C312" s="43"/>
      <c r="D312" s="43"/>
      <c r="E312" s="14"/>
      <c r="F312" s="273"/>
      <c r="G312" s="273"/>
      <c r="H312" s="273"/>
      <c r="I312" s="99"/>
      <c r="J312" s="14"/>
      <c r="K312" s="42"/>
    </row>
    <row r="313" spans="1:11" ht="19.5" customHeight="1">
      <c r="A313" s="14"/>
      <c r="B313" s="14"/>
      <c r="C313" s="14"/>
      <c r="D313" s="14"/>
      <c r="E313" s="14"/>
      <c r="F313" s="273"/>
      <c r="G313" s="273"/>
      <c r="H313" s="273"/>
      <c r="I313" s="99"/>
      <c r="J313" s="14"/>
      <c r="K313" s="42"/>
    </row>
    <row r="314" spans="1:11" ht="19.5" customHeight="1">
      <c r="A314" s="14"/>
      <c r="B314" s="14"/>
      <c r="C314" s="14"/>
      <c r="D314" s="14"/>
      <c r="E314" s="14"/>
      <c r="F314" s="273"/>
      <c r="G314" s="273"/>
      <c r="H314" s="273"/>
      <c r="I314" s="99"/>
      <c r="J314" s="42"/>
      <c r="K314" s="41"/>
    </row>
    <row r="315" spans="1:11" ht="19.5" customHeight="1">
      <c r="A315" s="14"/>
      <c r="B315" s="14"/>
      <c r="C315" s="14"/>
      <c r="D315" s="14"/>
      <c r="E315" s="14"/>
      <c r="F315" s="273"/>
      <c r="G315" s="273"/>
      <c r="H315" s="273"/>
      <c r="I315" s="99"/>
      <c r="J315" s="14"/>
      <c r="K315" s="42"/>
    </row>
    <row r="316" spans="1:11" ht="19.5" customHeight="1">
      <c r="A316" s="14"/>
      <c r="B316" s="272"/>
      <c r="C316" s="14"/>
      <c r="D316" s="14"/>
      <c r="E316" s="14"/>
      <c r="F316" s="273"/>
      <c r="G316" s="273"/>
      <c r="H316" s="273"/>
      <c r="I316" s="99"/>
      <c r="J316" s="14"/>
      <c r="K316" s="42"/>
    </row>
    <row r="317" spans="1:11" ht="19.5" customHeight="1">
      <c r="A317" s="14"/>
      <c r="B317" s="14"/>
      <c r="C317" s="14"/>
      <c r="D317" s="14"/>
      <c r="E317" s="14"/>
      <c r="F317" s="273"/>
      <c r="G317" s="273"/>
      <c r="H317" s="273"/>
      <c r="I317" s="99"/>
      <c r="J317" s="14"/>
      <c r="K317" s="42"/>
    </row>
    <row r="318" spans="1:11" ht="19.5" customHeight="1">
      <c r="A318" s="14"/>
      <c r="B318" s="14"/>
      <c r="C318" s="14"/>
      <c r="D318" s="14"/>
      <c r="E318" s="14"/>
      <c r="F318" s="273"/>
      <c r="G318" s="273"/>
      <c r="H318" s="273"/>
      <c r="I318" s="99"/>
      <c r="J318" s="42"/>
      <c r="K318" s="41"/>
    </row>
    <row r="319" spans="1:11" ht="19.5" customHeight="1">
      <c r="A319" s="14"/>
      <c r="B319" s="14"/>
      <c r="C319" s="14"/>
      <c r="D319" s="14"/>
      <c r="E319" s="232"/>
      <c r="F319" s="232"/>
      <c r="G319" s="232"/>
      <c r="H319" s="232"/>
      <c r="I319" s="99"/>
      <c r="J319" s="14"/>
      <c r="K319" s="42"/>
    </row>
    <row r="320" spans="1:11" ht="19.5" customHeight="1">
      <c r="A320" s="14"/>
      <c r="B320" s="234"/>
      <c r="C320" s="14"/>
      <c r="D320" s="14"/>
      <c r="E320" s="232"/>
      <c r="F320" s="232"/>
      <c r="G320" s="232"/>
      <c r="H320" s="232"/>
      <c r="I320" s="99"/>
      <c r="J320" s="14"/>
      <c r="K320" s="42"/>
    </row>
    <row r="321" spans="1:11" ht="19.5" customHeight="1">
      <c r="A321" s="14"/>
      <c r="B321" s="14"/>
      <c r="C321" s="14"/>
      <c r="D321" s="14"/>
      <c r="E321" s="232"/>
      <c r="F321" s="232"/>
      <c r="G321" s="232"/>
      <c r="H321" s="232"/>
      <c r="I321" s="99"/>
      <c r="J321" s="14"/>
      <c r="K321" s="42"/>
    </row>
    <row r="322" spans="1:11" ht="19.5" customHeight="1">
      <c r="A322" s="14"/>
      <c r="B322" s="14"/>
      <c r="C322" s="14"/>
      <c r="D322" s="14"/>
      <c r="E322" s="232"/>
      <c r="F322" s="232"/>
      <c r="G322" s="232"/>
      <c r="H322" s="232"/>
      <c r="I322" s="99"/>
      <c r="J322" s="42"/>
      <c r="K322" s="41"/>
    </row>
    <row r="323" spans="1:11" ht="19.5" customHeight="1">
      <c r="J323" s="3"/>
    </row>
    <row r="324" spans="1:11" ht="19.5" customHeight="1">
      <c r="J324" s="3"/>
    </row>
    <row r="325" spans="1:11" ht="19.5" customHeight="1">
      <c r="J325" s="3"/>
    </row>
    <row r="326" spans="1:11" ht="19.5" customHeight="1">
      <c r="J326" s="3"/>
    </row>
    <row r="327" spans="1:11" ht="19.5" customHeight="1">
      <c r="J327" s="3"/>
    </row>
    <row r="328" spans="1:11" ht="19.5" customHeight="1">
      <c r="J328" s="3"/>
    </row>
    <row r="329" spans="1:11" ht="19.5" customHeight="1">
      <c r="J329" s="3"/>
    </row>
    <row r="330" spans="1:11" ht="19.5" customHeight="1">
      <c r="J330" s="3"/>
    </row>
    <row r="331" spans="1:11" ht="19.5" customHeight="1">
      <c r="J331" s="3"/>
    </row>
    <row r="332" spans="1:11" ht="19.5" customHeight="1">
      <c r="J332" s="3"/>
    </row>
    <row r="333" spans="1:11" ht="19.5" customHeight="1">
      <c r="J333" s="3"/>
    </row>
    <row r="334" spans="1:11" ht="19.5" customHeight="1">
      <c r="J334" s="3"/>
    </row>
  </sheetData>
  <sheetProtection password="868A" sheet="1" formatCells="0" formatColumns="0" formatRows="0" insertColumns="0" insertRows="0" insertHyperlinks="0" deleteColumns="0" deleteRows="0" sort="0" autoFilter="0" pivotTables="0"/>
  <mergeCells count="22">
    <mergeCell ref="A2:H2"/>
    <mergeCell ref="B24:D24"/>
    <mergeCell ref="C5:D6"/>
    <mergeCell ref="B77:C77"/>
    <mergeCell ref="B81:F81"/>
    <mergeCell ref="A5:A6"/>
    <mergeCell ref="H5:H6"/>
    <mergeCell ref="A4:K4"/>
    <mergeCell ref="A3:H3"/>
    <mergeCell ref="G247:H247"/>
    <mergeCell ref="B246:D246"/>
    <mergeCell ref="E278:G278"/>
    <mergeCell ref="B258:D258"/>
    <mergeCell ref="E277:G277"/>
    <mergeCell ref="K5:K6"/>
    <mergeCell ref="J5:J6"/>
    <mergeCell ref="B61:D61"/>
    <mergeCell ref="E5:G5"/>
    <mergeCell ref="B5:B6"/>
    <mergeCell ref="B45:C45"/>
    <mergeCell ref="O61:Q61"/>
    <mergeCell ref="I5:I6"/>
  </mergeCells>
  <pageMargins left="0.25" right="0.25" top="0.75" bottom="0.75" header="0.3" footer="0.3"/>
  <pageSetup paperSize="9" orientation="portrait" horizontalDpi="4294967293" verticalDpi="0" r:id="rId1"/>
  <headerFooter>
    <oddHeader>&amp;C&amp;G</oddHeader>
  </headerFooter>
  <ignoredErrors>
    <ignoredError sqref="D163 I102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6"/>
  <sheetViews>
    <sheetView workbookViewId="0">
      <selection activeCell="L9" sqref="L9"/>
    </sheetView>
  </sheetViews>
  <sheetFormatPr defaultRowHeight="19.5" customHeight="1"/>
  <cols>
    <col min="1" max="1" width="3.42578125" style="14" customWidth="1"/>
    <col min="2" max="2" width="41.5703125" style="15" customWidth="1"/>
    <col min="3" max="3" width="9.7109375" style="214" customWidth="1"/>
    <col min="4" max="4" width="5.42578125" style="3" customWidth="1"/>
    <col min="5" max="5" width="10.85546875" style="139" customWidth="1"/>
    <col min="6" max="6" width="5.42578125" style="3" customWidth="1"/>
    <col min="7" max="7" width="11.85546875" style="139" customWidth="1"/>
    <col min="8" max="8" width="11.5703125" style="3" customWidth="1"/>
    <col min="9" max="10" width="9.140625" style="3"/>
    <col min="11" max="11" width="20.7109375" style="3" customWidth="1"/>
    <col min="12" max="12" width="16.140625" style="3" customWidth="1"/>
    <col min="13" max="16384" width="9.140625" style="3"/>
  </cols>
  <sheetData>
    <row r="1" spans="1:13" ht="19.5" customHeight="1">
      <c r="A1" s="297" t="s">
        <v>356</v>
      </c>
      <c r="B1" s="297"/>
      <c r="C1" s="297"/>
      <c r="D1" s="297"/>
      <c r="E1" s="297"/>
      <c r="F1" s="297"/>
      <c r="G1" s="297"/>
      <c r="H1" s="297"/>
      <c r="I1" s="11"/>
      <c r="J1" s="11"/>
      <c r="K1" s="11"/>
    </row>
    <row r="2" spans="1:13" ht="19.5" customHeight="1">
      <c r="A2" s="302" t="s">
        <v>328</v>
      </c>
      <c r="B2" s="302"/>
      <c r="C2" s="302"/>
      <c r="D2" s="302"/>
      <c r="E2" s="302"/>
      <c r="F2" s="302"/>
      <c r="G2" s="302"/>
      <c r="H2" s="302"/>
      <c r="I2" s="1"/>
      <c r="J2" s="1"/>
      <c r="K2" s="11"/>
    </row>
    <row r="3" spans="1:13" ht="22.5" customHeight="1" thickBot="1">
      <c r="A3" s="308" t="s">
        <v>78</v>
      </c>
      <c r="B3" s="308"/>
      <c r="C3" s="308"/>
      <c r="D3" s="308"/>
      <c r="E3" s="308"/>
      <c r="F3" s="308"/>
      <c r="G3" s="308"/>
      <c r="H3" s="308"/>
      <c r="I3" s="36"/>
      <c r="J3" s="36"/>
      <c r="K3" s="36"/>
    </row>
    <row r="4" spans="1:13" ht="19.5" customHeight="1">
      <c r="A4" s="286" t="s">
        <v>6</v>
      </c>
      <c r="B4" s="291" t="s">
        <v>1</v>
      </c>
      <c r="C4" s="309" t="s">
        <v>79</v>
      </c>
      <c r="D4" s="291" t="s">
        <v>63</v>
      </c>
      <c r="E4" s="311" t="s">
        <v>311</v>
      </c>
      <c r="F4" s="291" t="s">
        <v>80</v>
      </c>
      <c r="G4" s="311" t="s">
        <v>312</v>
      </c>
      <c r="H4" s="288" t="s">
        <v>81</v>
      </c>
      <c r="I4" s="37"/>
      <c r="J4" s="38"/>
      <c r="K4" s="39"/>
    </row>
    <row r="5" spans="1:13" ht="19.5" customHeight="1" thickBot="1">
      <c r="A5" s="287"/>
      <c r="B5" s="292"/>
      <c r="C5" s="310"/>
      <c r="D5" s="292"/>
      <c r="E5" s="312"/>
      <c r="F5" s="292"/>
      <c r="G5" s="312"/>
      <c r="H5" s="289"/>
      <c r="I5" s="37"/>
      <c r="J5" s="38"/>
      <c r="K5" s="39"/>
      <c r="L5" s="14"/>
      <c r="M5" s="14"/>
    </row>
    <row r="6" spans="1:13" ht="19.5" customHeight="1">
      <c r="A6" s="20">
        <f>'Details of Measurement'!A7</f>
        <v>1</v>
      </c>
      <c r="B6" s="49" t="str">
        <f>'Details of Measurement'!B7</f>
        <v>Site Cleaning Work</v>
      </c>
      <c r="C6" s="208">
        <f>'Details of Measurement'!$K$7</f>
        <v>2800</v>
      </c>
      <c r="D6" s="40" t="str">
        <f>'Details of Measurement'!J7</f>
        <v>SFT</v>
      </c>
      <c r="E6" s="134"/>
      <c r="F6" s="40"/>
      <c r="G6" s="135"/>
      <c r="H6" s="20"/>
      <c r="J6" s="14"/>
      <c r="K6" s="129"/>
      <c r="L6" s="128"/>
      <c r="M6" s="126"/>
    </row>
    <row r="7" spans="1:13" ht="19.5" customHeight="1">
      <c r="A7" s="20"/>
      <c r="B7" s="50" t="s">
        <v>82</v>
      </c>
      <c r="C7" s="21"/>
      <c r="D7" s="20"/>
      <c r="E7" s="135"/>
      <c r="F7" s="20"/>
      <c r="G7" s="135"/>
      <c r="H7" s="20"/>
      <c r="J7" s="14"/>
      <c r="K7" s="129"/>
      <c r="L7" s="128"/>
      <c r="M7" s="126"/>
    </row>
    <row r="8" spans="1:13" ht="19.5" customHeight="1">
      <c r="A8" s="20"/>
      <c r="B8" s="51" t="s">
        <v>83</v>
      </c>
      <c r="C8" s="216">
        <f>C6*0.5/100</f>
        <v>14</v>
      </c>
      <c r="D8" s="25" t="s">
        <v>84</v>
      </c>
      <c r="E8" s="136">
        <v>5000</v>
      </c>
      <c r="F8" s="25" t="str">
        <f>D8</f>
        <v>No</v>
      </c>
      <c r="G8" s="135">
        <f>C8*E8</f>
        <v>70000</v>
      </c>
      <c r="H8" s="20"/>
      <c r="J8" s="14"/>
      <c r="K8" s="129"/>
      <c r="L8" s="128"/>
      <c r="M8" s="126"/>
    </row>
    <row r="9" spans="1:13" ht="19.5" customHeight="1">
      <c r="A9" s="20"/>
      <c r="B9" s="26"/>
      <c r="C9" s="21"/>
      <c r="D9" s="20"/>
      <c r="E9" s="135"/>
      <c r="F9" s="20"/>
      <c r="G9" s="135"/>
      <c r="H9" s="20"/>
      <c r="J9" s="14"/>
      <c r="K9" s="129"/>
      <c r="L9" s="128"/>
      <c r="M9" s="126"/>
    </row>
    <row r="10" spans="1:13" ht="19.5" customHeight="1">
      <c r="A10" s="20">
        <f>'Details of Measurement'!A9</f>
        <v>2</v>
      </c>
      <c r="B10" s="49" t="str">
        <f>'Details of Measurement'!B9</f>
        <v>Excavation for Foundation</v>
      </c>
      <c r="C10" s="208">
        <f>'Details of Measurement'!$K$12</f>
        <v>2200</v>
      </c>
      <c r="D10" s="40" t="str">
        <f>'Details of Measurement'!J12</f>
        <v>CFT</v>
      </c>
      <c r="E10" s="134"/>
      <c r="F10" s="40"/>
      <c r="G10" s="135"/>
      <c r="H10" s="20"/>
      <c r="J10" s="14"/>
      <c r="K10" s="129"/>
      <c r="L10" s="128"/>
      <c r="M10" s="126"/>
    </row>
    <row r="11" spans="1:13" ht="19.5" customHeight="1">
      <c r="A11" s="20"/>
      <c r="B11" s="50" t="s">
        <v>82</v>
      </c>
      <c r="C11" s="21"/>
      <c r="D11" s="20"/>
      <c r="E11" s="135"/>
      <c r="F11" s="20"/>
      <c r="G11" s="135"/>
      <c r="H11" s="20"/>
      <c r="J11" s="14"/>
      <c r="K11" s="129"/>
      <c r="L11" s="128"/>
      <c r="M11" s="126"/>
    </row>
    <row r="12" spans="1:13" ht="19.5" customHeight="1">
      <c r="A12" s="20"/>
      <c r="B12" s="51" t="s">
        <v>83</v>
      </c>
      <c r="C12" s="21">
        <f>C10*2/100</f>
        <v>44</v>
      </c>
      <c r="D12" s="25" t="s">
        <v>84</v>
      </c>
      <c r="E12" s="136">
        <v>5000</v>
      </c>
      <c r="F12" s="25" t="str">
        <f>D12</f>
        <v>No</v>
      </c>
      <c r="G12" s="135">
        <f>C12*E12</f>
        <v>220000</v>
      </c>
      <c r="H12" s="20"/>
      <c r="J12" s="14"/>
      <c r="K12" s="129"/>
      <c r="L12" s="128"/>
      <c r="M12" s="126"/>
    </row>
    <row r="13" spans="1:13" ht="19.5" customHeight="1">
      <c r="A13" s="20"/>
      <c r="B13" s="51"/>
      <c r="C13" s="21"/>
      <c r="D13" s="20"/>
      <c r="E13" s="135"/>
      <c r="F13" s="20"/>
      <c r="G13" s="135"/>
      <c r="H13" s="20"/>
      <c r="J13" s="14"/>
      <c r="K13" s="14"/>
      <c r="L13" s="14"/>
      <c r="M13" s="14"/>
    </row>
    <row r="14" spans="1:13" ht="19.5" customHeight="1">
      <c r="A14" s="20">
        <f>'Details of Measurement'!A14</f>
        <v>3</v>
      </c>
      <c r="B14" s="49" t="str">
        <f>'Details of Measurement'!B14</f>
        <v>Hardcore Filling Work</v>
      </c>
      <c r="C14" s="208">
        <f>'Details of Measurement'!$K$17</f>
        <v>351.5625</v>
      </c>
      <c r="D14" s="40" t="str">
        <f>'Details of Measurement'!J17</f>
        <v>CFT</v>
      </c>
      <c r="E14" s="134"/>
      <c r="F14" s="40"/>
      <c r="G14" s="135"/>
      <c r="H14" s="20"/>
      <c r="J14" s="14"/>
      <c r="K14" s="127"/>
      <c r="L14" s="128"/>
      <c r="M14" s="126"/>
    </row>
    <row r="15" spans="1:13" ht="19.5" customHeight="1">
      <c r="A15" s="20"/>
      <c r="B15" s="50" t="s">
        <v>85</v>
      </c>
      <c r="C15" s="21"/>
      <c r="D15" s="20"/>
      <c r="E15" s="135"/>
      <c r="F15" s="20"/>
      <c r="G15" s="135"/>
      <c r="H15" s="20"/>
      <c r="J15" s="14"/>
      <c r="K15" s="129"/>
      <c r="L15" s="128"/>
      <c r="M15" s="126"/>
    </row>
    <row r="16" spans="1:13" ht="19.5" customHeight="1">
      <c r="A16" s="20"/>
      <c r="B16" s="51" t="s">
        <v>87</v>
      </c>
      <c r="C16" s="62">
        <f>C14*1.25/100</f>
        <v>4.39453125</v>
      </c>
      <c r="D16" s="25" t="s">
        <v>86</v>
      </c>
      <c r="E16" s="136">
        <v>25000</v>
      </c>
      <c r="F16" s="25" t="str">
        <f>D16</f>
        <v>Sud</v>
      </c>
      <c r="G16" s="135">
        <f>C16*E16</f>
        <v>109863.28125</v>
      </c>
      <c r="H16" s="20"/>
      <c r="I16" s="200"/>
      <c r="J16" s="14"/>
      <c r="K16" s="129"/>
      <c r="L16" s="128"/>
      <c r="M16" s="126"/>
    </row>
    <row r="17" spans="1:13" ht="19.5" customHeight="1">
      <c r="A17" s="20"/>
      <c r="B17" s="51" t="s">
        <v>88</v>
      </c>
      <c r="C17" s="62">
        <f>C14*0.25/100</f>
        <v>0.87890625</v>
      </c>
      <c r="D17" s="25" t="s">
        <v>86</v>
      </c>
      <c r="E17" s="136">
        <v>85000</v>
      </c>
      <c r="F17" s="25" t="str">
        <f>D17</f>
        <v>Sud</v>
      </c>
      <c r="G17" s="135">
        <f>C17*E17</f>
        <v>74707.03125</v>
      </c>
      <c r="H17" s="20"/>
      <c r="I17" s="200"/>
      <c r="J17" s="196"/>
      <c r="K17" s="129"/>
      <c r="L17" s="128"/>
      <c r="M17" s="126"/>
    </row>
    <row r="18" spans="1:13" ht="19.5" customHeight="1">
      <c r="A18" s="20"/>
      <c r="B18" s="51" t="s">
        <v>83</v>
      </c>
      <c r="C18" s="62">
        <f>C14/100</f>
        <v>3.515625</v>
      </c>
      <c r="D18" s="25" t="s">
        <v>84</v>
      </c>
      <c r="E18" s="136">
        <v>5000</v>
      </c>
      <c r="F18" s="25" t="str">
        <f>D18</f>
        <v>No</v>
      </c>
      <c r="G18" s="135">
        <f>C18*E18</f>
        <v>17578.125</v>
      </c>
      <c r="H18" s="20"/>
      <c r="I18" s="200"/>
      <c r="J18" s="14"/>
      <c r="K18" s="129"/>
      <c r="L18" s="128"/>
      <c r="M18" s="126"/>
    </row>
    <row r="19" spans="1:13" ht="19.5" customHeight="1">
      <c r="A19" s="20"/>
      <c r="B19" s="51"/>
      <c r="C19" s="21"/>
      <c r="D19" s="20"/>
      <c r="E19" s="135"/>
      <c r="F19" s="20"/>
      <c r="G19" s="135"/>
      <c r="H19" s="20"/>
      <c r="J19" s="14"/>
      <c r="K19" s="129"/>
      <c r="L19" s="128"/>
      <c r="M19" s="126"/>
    </row>
    <row r="20" spans="1:13" ht="19.5" customHeight="1">
      <c r="A20" s="20">
        <f>'Details of Measurement'!A19</f>
        <v>4</v>
      </c>
      <c r="B20" s="49" t="str">
        <f>'Details of Measurement'!B19</f>
        <v>(1:3:6) Lean Concrete</v>
      </c>
      <c r="C20" s="208">
        <f>'Details of Measurement'!$K$22</f>
        <v>198.4375</v>
      </c>
      <c r="D20" s="40" t="str">
        <f>'Details of Measurement'!J22</f>
        <v>CFT</v>
      </c>
      <c r="E20" s="134"/>
      <c r="F20" s="40"/>
      <c r="G20" s="135"/>
      <c r="H20" s="20"/>
    </row>
    <row r="21" spans="1:13" ht="19.5" customHeight="1">
      <c r="A21" s="20"/>
      <c r="B21" s="50" t="s">
        <v>85</v>
      </c>
      <c r="C21" s="21"/>
      <c r="D21" s="20"/>
      <c r="E21" s="135"/>
      <c r="F21" s="20"/>
      <c r="G21" s="135"/>
      <c r="H21" s="20"/>
    </row>
    <row r="22" spans="1:13" ht="19.5" customHeight="1">
      <c r="A22" s="20"/>
      <c r="B22" s="51" t="s">
        <v>89</v>
      </c>
      <c r="C22" s="21">
        <f>C20*1440/100/112</f>
        <v>25.513392857142858</v>
      </c>
      <c r="D22" s="25" t="s">
        <v>91</v>
      </c>
      <c r="E22" s="136">
        <v>5700</v>
      </c>
      <c r="F22" s="25" t="str">
        <f>D22</f>
        <v>Bags</v>
      </c>
      <c r="G22" s="135">
        <f>C22*E22</f>
        <v>145426.33928571429</v>
      </c>
      <c r="H22" s="20"/>
      <c r="K22" s="47" t="s">
        <v>89</v>
      </c>
      <c r="L22" s="5">
        <f>C22+C30+C38+C48+C64+C72+C80</f>
        <v>466.95534786160704</v>
      </c>
    </row>
    <row r="23" spans="1:13" ht="19.5" customHeight="1">
      <c r="A23" s="20"/>
      <c r="B23" s="51" t="s">
        <v>92</v>
      </c>
      <c r="C23" s="21">
        <f>C20*96/100/100</f>
        <v>1.905</v>
      </c>
      <c r="D23" s="25" t="s">
        <v>86</v>
      </c>
      <c r="E23" s="136">
        <v>90000</v>
      </c>
      <c r="F23" s="25" t="str">
        <f>D23</f>
        <v>Sud</v>
      </c>
      <c r="G23" s="135">
        <f>C23*E23</f>
        <v>171450</v>
      </c>
      <c r="H23" s="20"/>
      <c r="K23" s="47" t="s">
        <v>88</v>
      </c>
      <c r="L23" s="5">
        <f>C17+C24+C32+C40+C49+C59+C66+C74+C82</f>
        <v>37.568711675000003</v>
      </c>
    </row>
    <row r="24" spans="1:13" ht="19.5" customHeight="1">
      <c r="A24" s="20"/>
      <c r="B24" s="51" t="s">
        <v>88</v>
      </c>
      <c r="C24" s="21">
        <f>C20*48/100/100</f>
        <v>0.95250000000000001</v>
      </c>
      <c r="D24" s="25" t="s">
        <v>93</v>
      </c>
      <c r="E24" s="136">
        <v>85000</v>
      </c>
      <c r="F24" s="25" t="str">
        <f>D24</f>
        <v>sud</v>
      </c>
      <c r="G24" s="135">
        <f>C24*E24</f>
        <v>80962.5</v>
      </c>
      <c r="H24" s="20"/>
      <c r="K24" s="47" t="s">
        <v>87</v>
      </c>
      <c r="L24" s="5">
        <f>C16</f>
        <v>4.39453125</v>
      </c>
    </row>
    <row r="25" spans="1:13" ht="19.5" customHeight="1">
      <c r="A25" s="20"/>
      <c r="B25" s="51" t="s">
        <v>90</v>
      </c>
      <c r="C25" s="21">
        <f>C20*1/100</f>
        <v>1.984375</v>
      </c>
      <c r="D25" s="25" t="s">
        <v>84</v>
      </c>
      <c r="E25" s="136">
        <v>6500</v>
      </c>
      <c r="F25" s="25" t="str">
        <f>D25</f>
        <v>No</v>
      </c>
      <c r="G25" s="135">
        <f>C25*E25</f>
        <v>12898.4375</v>
      </c>
      <c r="H25" s="20"/>
      <c r="K25" s="47" t="s">
        <v>92</v>
      </c>
      <c r="L25" s="5">
        <f>C23+C65+C73+C81</f>
        <v>18.164328750000003</v>
      </c>
    </row>
    <row r="26" spans="1:13" ht="19.5" customHeight="1">
      <c r="A26" s="20"/>
      <c r="B26" s="51" t="s">
        <v>83</v>
      </c>
      <c r="C26" s="21">
        <f>C20*8/100</f>
        <v>15.875</v>
      </c>
      <c r="D26" s="25" t="s">
        <v>84</v>
      </c>
      <c r="E26" s="136">
        <v>5000</v>
      </c>
      <c r="F26" s="25" t="str">
        <f>D26</f>
        <v>No</v>
      </c>
      <c r="G26" s="135">
        <f>C26*E26</f>
        <v>79375</v>
      </c>
      <c r="H26" s="20"/>
      <c r="K26" s="47" t="s">
        <v>339</v>
      </c>
      <c r="L26" s="5">
        <f>C31+C39</f>
        <v>21970.3812</v>
      </c>
    </row>
    <row r="27" spans="1:13" ht="19.5" customHeight="1">
      <c r="A27" s="20"/>
      <c r="B27" s="51"/>
      <c r="C27" s="21"/>
      <c r="D27" s="20"/>
      <c r="E27" s="135"/>
      <c r="F27" s="20"/>
      <c r="G27" s="135"/>
      <c r="H27" s="20"/>
      <c r="K27" s="47" t="s">
        <v>96</v>
      </c>
      <c r="L27" s="5">
        <f>C43+C147</f>
        <v>2238.3790349999999</v>
      </c>
    </row>
    <row r="28" spans="1:13" ht="19.5" customHeight="1">
      <c r="A28" s="198">
        <f>'Details of Measurement'!A24</f>
        <v>5</v>
      </c>
      <c r="B28" s="201" t="str">
        <f>'Details of Measurement'!B24</f>
        <v>Brick Work 1st Class in 1:4 Cement Mortor</v>
      </c>
      <c r="C28" s="208">
        <f>'Details of Measurement'!K42</f>
        <v>863.49750000000006</v>
      </c>
      <c r="D28" s="202" t="str">
        <f>'Details of Measurement'!J42</f>
        <v>CFT</v>
      </c>
      <c r="E28" s="134"/>
      <c r="F28" s="40"/>
      <c r="G28" s="135"/>
      <c r="H28" s="20"/>
      <c r="K28" s="47" t="s">
        <v>329</v>
      </c>
      <c r="L28" s="5">
        <f>C44</f>
        <v>130</v>
      </c>
    </row>
    <row r="29" spans="1:13" ht="19.5" customHeight="1">
      <c r="A29" s="20"/>
      <c r="B29" s="50" t="s">
        <v>85</v>
      </c>
      <c r="C29" s="21"/>
      <c r="D29" s="20"/>
      <c r="E29" s="135"/>
      <c r="F29" s="20"/>
      <c r="G29" s="135"/>
      <c r="H29" s="20"/>
    </row>
    <row r="30" spans="1:13" ht="19.5" customHeight="1">
      <c r="A30" s="20"/>
      <c r="B30" s="51" t="s">
        <v>89</v>
      </c>
      <c r="C30" s="21">
        <f>C28*630/100/112</f>
        <v>48.571734375000005</v>
      </c>
      <c r="D30" s="25" t="s">
        <v>91</v>
      </c>
      <c r="E30" s="136">
        <v>5700</v>
      </c>
      <c r="F30" s="25" t="str">
        <f>D30</f>
        <v>Bags</v>
      </c>
      <c r="G30" s="135">
        <f>C30*E30</f>
        <v>276858.88593750005</v>
      </c>
      <c r="H30" s="20"/>
    </row>
    <row r="31" spans="1:13" ht="19.5" customHeight="1">
      <c r="A31" s="20"/>
      <c r="B31" s="51" t="s">
        <v>94</v>
      </c>
      <c r="C31" s="21">
        <f>C28*1350/100</f>
        <v>11657.216249999999</v>
      </c>
      <c r="D31" s="25" t="s">
        <v>68</v>
      </c>
      <c r="E31" s="136">
        <v>100</v>
      </c>
      <c r="F31" s="124" t="str">
        <f>D31</f>
        <v>Nos</v>
      </c>
      <c r="G31" s="135">
        <f>C31*E31</f>
        <v>1165721.625</v>
      </c>
      <c r="H31" s="20"/>
    </row>
    <row r="32" spans="1:13" ht="19.5" customHeight="1">
      <c r="A32" s="20"/>
      <c r="B32" s="51" t="s">
        <v>88</v>
      </c>
      <c r="C32" s="21">
        <f>C28*28/100/100</f>
        <v>2.4177930000000001</v>
      </c>
      <c r="D32" s="25" t="s">
        <v>93</v>
      </c>
      <c r="E32" s="136">
        <v>85000</v>
      </c>
      <c r="F32" s="25" t="str">
        <f>D32</f>
        <v>sud</v>
      </c>
      <c r="G32" s="135">
        <f>C32*E32</f>
        <v>205512.405</v>
      </c>
      <c r="H32" s="20"/>
    </row>
    <row r="33" spans="1:8" ht="19.5" customHeight="1">
      <c r="A33" s="20"/>
      <c r="B33" s="51" t="s">
        <v>90</v>
      </c>
      <c r="C33" s="21">
        <f>C28*4/100</f>
        <v>34.539900000000003</v>
      </c>
      <c r="D33" s="25" t="s">
        <v>84</v>
      </c>
      <c r="E33" s="136">
        <v>6500</v>
      </c>
      <c r="F33" s="25" t="str">
        <f>D33</f>
        <v>No</v>
      </c>
      <c r="G33" s="135">
        <f>C33*E33</f>
        <v>224509.35</v>
      </c>
      <c r="H33" s="20"/>
    </row>
    <row r="34" spans="1:8" ht="19.5" customHeight="1">
      <c r="A34" s="20"/>
      <c r="B34" s="51" t="s">
        <v>83</v>
      </c>
      <c r="C34" s="21">
        <f>C28*6/100</f>
        <v>51.809850000000004</v>
      </c>
      <c r="D34" s="25" t="s">
        <v>84</v>
      </c>
      <c r="E34" s="136">
        <v>5000</v>
      </c>
      <c r="F34" s="25" t="str">
        <f>D34</f>
        <v>No</v>
      </c>
      <c r="G34" s="135">
        <f>C34*E34</f>
        <v>259049.25000000003</v>
      </c>
      <c r="H34" s="20"/>
    </row>
    <row r="35" spans="1:8" ht="19.5" customHeight="1">
      <c r="A35" s="20"/>
      <c r="B35" s="26"/>
      <c r="C35" s="21"/>
      <c r="D35" s="20"/>
      <c r="E35" s="135"/>
      <c r="F35" s="20"/>
      <c r="G35" s="135"/>
      <c r="H35" s="20"/>
    </row>
    <row r="36" spans="1:8" ht="19.5" customHeight="1">
      <c r="A36" s="56">
        <f>'Details of Measurement'!A45</f>
        <v>6</v>
      </c>
      <c r="B36" s="203" t="str">
        <f>'Details of Measurement'!B45</f>
        <v>4.5" Thk: Brick Wall in 1:3 Cement Mortor</v>
      </c>
      <c r="C36" s="34">
        <f>'Details of Measurement'!K59</f>
        <v>1875.1209000000001</v>
      </c>
      <c r="D36" s="40" t="str">
        <f>'Details of Measurement'!J59</f>
        <v>SFT</v>
      </c>
      <c r="E36" s="134"/>
      <c r="F36" s="40"/>
      <c r="G36" s="135"/>
      <c r="H36" s="20"/>
    </row>
    <row r="37" spans="1:8" ht="19.5" customHeight="1">
      <c r="A37" s="20"/>
      <c r="B37" s="50" t="s">
        <v>85</v>
      </c>
      <c r="C37" s="21"/>
      <c r="D37" s="20"/>
      <c r="E37" s="135"/>
      <c r="F37" s="20"/>
      <c r="G37" s="135"/>
      <c r="H37" s="20"/>
    </row>
    <row r="38" spans="1:8" ht="19.5" customHeight="1">
      <c r="A38" s="20"/>
      <c r="B38" s="51" t="s">
        <v>89</v>
      </c>
      <c r="C38" s="21">
        <f>C36*297/100/112</f>
        <v>49.724188151785718</v>
      </c>
      <c r="D38" s="25" t="s">
        <v>91</v>
      </c>
      <c r="E38" s="136">
        <v>5700</v>
      </c>
      <c r="F38" s="25" t="str">
        <f>'Builder''s Estimate'!D38</f>
        <v>Bags</v>
      </c>
      <c r="G38" s="135">
        <f t="shared" ref="G38:G44" si="0">C38*E38</f>
        <v>283427.8724651786</v>
      </c>
      <c r="H38" s="20"/>
    </row>
    <row r="39" spans="1:8" ht="19.5" customHeight="1">
      <c r="A39" s="20"/>
      <c r="B39" s="51" t="s">
        <v>94</v>
      </c>
      <c r="C39" s="21">
        <f>C36*550/100</f>
        <v>10313.16495</v>
      </c>
      <c r="D39" s="25" t="s">
        <v>68</v>
      </c>
      <c r="E39" s="136">
        <v>100</v>
      </c>
      <c r="F39" s="25" t="str">
        <f>'Builder''s Estimate'!D39</f>
        <v>Nos</v>
      </c>
      <c r="G39" s="135">
        <f t="shared" si="0"/>
        <v>1031316.495</v>
      </c>
      <c r="H39" s="20"/>
    </row>
    <row r="40" spans="1:8" ht="19.5" customHeight="1">
      <c r="A40" s="20"/>
      <c r="B40" s="51" t="s">
        <v>88</v>
      </c>
      <c r="C40" s="21">
        <f>C36*10/100/100</f>
        <v>1.8751209000000002</v>
      </c>
      <c r="D40" s="25" t="s">
        <v>93</v>
      </c>
      <c r="E40" s="136">
        <v>85000</v>
      </c>
      <c r="F40" s="25" t="str">
        <f>'Builder''s Estimate'!D40</f>
        <v>sud</v>
      </c>
      <c r="G40" s="135">
        <f t="shared" si="0"/>
        <v>159385.27650000001</v>
      </c>
      <c r="H40" s="20"/>
    </row>
    <row r="41" spans="1:8" ht="19.5" customHeight="1">
      <c r="A41" s="20"/>
      <c r="B41" s="51" t="s">
        <v>90</v>
      </c>
      <c r="C41" s="21">
        <f>C36*2/100</f>
        <v>37.502418000000006</v>
      </c>
      <c r="D41" s="199" t="s">
        <v>84</v>
      </c>
      <c r="E41" s="136">
        <v>6500</v>
      </c>
      <c r="F41" s="25" t="str">
        <f>'Builder''s Estimate'!D41</f>
        <v>No</v>
      </c>
      <c r="G41" s="135">
        <f t="shared" si="0"/>
        <v>243765.71700000003</v>
      </c>
      <c r="H41" s="20"/>
    </row>
    <row r="42" spans="1:8" ht="19.5" customHeight="1">
      <c r="A42" s="20"/>
      <c r="B42" s="51" t="s">
        <v>83</v>
      </c>
      <c r="C42" s="21">
        <f>C36*3/100</f>
        <v>56.253627000000009</v>
      </c>
      <c r="D42" s="25" t="s">
        <v>84</v>
      </c>
      <c r="E42" s="136">
        <v>5000</v>
      </c>
      <c r="F42" s="25" t="str">
        <f>'Builder''s Estimate'!D42</f>
        <v>No</v>
      </c>
      <c r="G42" s="135">
        <f t="shared" si="0"/>
        <v>281268.13500000007</v>
      </c>
      <c r="H42" s="20"/>
    </row>
    <row r="43" spans="1:8" ht="19.5" customHeight="1">
      <c r="A43" s="120"/>
      <c r="B43" s="51" t="s">
        <v>96</v>
      </c>
      <c r="C43" s="21">
        <f>C36*115/100</f>
        <v>2156.3890350000001</v>
      </c>
      <c r="D43" s="211" t="s">
        <v>56</v>
      </c>
      <c r="E43" s="136">
        <v>70</v>
      </c>
      <c r="F43" s="25" t="str">
        <f>'Builder''s Estimate'!D43</f>
        <v>RFT</v>
      </c>
      <c r="G43" s="135">
        <f t="shared" si="0"/>
        <v>150947.23245000001</v>
      </c>
      <c r="H43" s="120"/>
    </row>
    <row r="44" spans="1:8" ht="19.5" customHeight="1">
      <c r="A44" s="120"/>
      <c r="B44" s="51" t="s">
        <v>329</v>
      </c>
      <c r="C44" s="21">
        <v>130</v>
      </c>
      <c r="D44" s="25" t="s">
        <v>84</v>
      </c>
      <c r="E44" s="136">
        <v>450</v>
      </c>
      <c r="F44" s="25" t="str">
        <f>'Builder''s Estimate'!D44</f>
        <v>No</v>
      </c>
      <c r="G44" s="135">
        <f t="shared" si="0"/>
        <v>58500</v>
      </c>
      <c r="H44" s="120"/>
    </row>
    <row r="45" spans="1:8" ht="19.5" customHeight="1">
      <c r="A45" s="20"/>
      <c r="B45" s="26"/>
      <c r="C45" s="21"/>
      <c r="D45" s="20"/>
      <c r="E45" s="135"/>
      <c r="F45" s="20"/>
      <c r="G45" s="135"/>
      <c r="H45" s="20"/>
    </row>
    <row r="46" spans="1:8" ht="19.5" customHeight="1">
      <c r="A46" s="20">
        <f>'Details of Measurement'!A61</f>
        <v>7</v>
      </c>
      <c r="B46" s="49" t="str">
        <f>'Details of Measurement'!B61</f>
        <v>1/2" Thk: Plastering with 1:3 Cement Mortor</v>
      </c>
      <c r="C46" s="208">
        <f>'Details of Measurement'!K71</f>
        <v>5482.5793000000003</v>
      </c>
      <c r="D46" s="40" t="str">
        <f>'Details of Measurement'!J71</f>
        <v>SFT</v>
      </c>
      <c r="E46" s="134"/>
      <c r="F46" s="40"/>
      <c r="G46" s="135"/>
      <c r="H46" s="20"/>
    </row>
    <row r="47" spans="1:8" ht="19.5" customHeight="1">
      <c r="A47" s="20"/>
      <c r="B47" s="50" t="s">
        <v>85</v>
      </c>
      <c r="C47" s="21"/>
      <c r="D47" s="20"/>
      <c r="E47" s="135"/>
      <c r="F47" s="20"/>
      <c r="G47" s="135"/>
      <c r="H47" s="20"/>
    </row>
    <row r="48" spans="1:8" ht="19.5" customHeight="1">
      <c r="A48" s="20"/>
      <c r="B48" s="51" t="s">
        <v>89</v>
      </c>
      <c r="C48" s="21">
        <f>C46*150/100/112</f>
        <v>73.427401339285709</v>
      </c>
      <c r="D48" s="25" t="s">
        <v>91</v>
      </c>
      <c r="E48" s="136">
        <v>5700</v>
      </c>
      <c r="F48" s="25" t="str">
        <f>'Builder''s Estimate'!D48</f>
        <v>Bags</v>
      </c>
      <c r="G48" s="135">
        <f>C48*E48</f>
        <v>418536.18763392855</v>
      </c>
      <c r="H48" s="20"/>
    </row>
    <row r="49" spans="1:8" ht="19.5" customHeight="1">
      <c r="A49" s="20"/>
      <c r="B49" s="51" t="s">
        <v>88</v>
      </c>
      <c r="C49" s="21">
        <f>C46*5/100/100</f>
        <v>2.7412896500000006</v>
      </c>
      <c r="D49" s="25" t="s">
        <v>93</v>
      </c>
      <c r="E49" s="136">
        <v>85000</v>
      </c>
      <c r="F49" s="25" t="str">
        <f>'Builder''s Estimate'!D49</f>
        <v>sud</v>
      </c>
      <c r="G49" s="135">
        <f>C49*E49</f>
        <v>233009.62025000004</v>
      </c>
      <c r="H49" s="20"/>
    </row>
    <row r="50" spans="1:8" ht="19.5" customHeight="1">
      <c r="A50" s="20"/>
      <c r="B50" s="51" t="s">
        <v>90</v>
      </c>
      <c r="C50" s="21">
        <f>C46*1/100</f>
        <v>54.825793000000004</v>
      </c>
      <c r="D50" s="25" t="s">
        <v>84</v>
      </c>
      <c r="E50" s="136">
        <v>6500</v>
      </c>
      <c r="F50" s="25" t="str">
        <f>'Builder''s Estimate'!D50</f>
        <v>No</v>
      </c>
      <c r="G50" s="135">
        <f>C50*E50</f>
        <v>356367.6545</v>
      </c>
      <c r="H50" s="20"/>
    </row>
    <row r="51" spans="1:8" ht="19.5" customHeight="1">
      <c r="A51" s="20"/>
      <c r="B51" s="51" t="s">
        <v>83</v>
      </c>
      <c r="C51" s="21">
        <f>C46*2/100</f>
        <v>109.65158600000001</v>
      </c>
      <c r="D51" s="25" t="s">
        <v>84</v>
      </c>
      <c r="E51" s="136">
        <v>5000</v>
      </c>
      <c r="F51" s="25" t="str">
        <f>'Builder''s Estimate'!D51</f>
        <v>No</v>
      </c>
      <c r="G51" s="135">
        <f>C51*E51</f>
        <v>548257.93000000005</v>
      </c>
      <c r="H51" s="20"/>
    </row>
    <row r="52" spans="1:8" ht="19.5" customHeight="1">
      <c r="A52" s="117"/>
      <c r="B52" s="51"/>
      <c r="C52" s="21"/>
      <c r="D52" s="118"/>
      <c r="E52" s="136"/>
      <c r="F52" s="118"/>
      <c r="G52" s="135"/>
      <c r="H52" s="117"/>
    </row>
    <row r="53" spans="1:8" ht="19.5" customHeight="1">
      <c r="A53" s="117">
        <f>'Details of Measurement'!A73</f>
        <v>8</v>
      </c>
      <c r="B53" s="49" t="str">
        <f>'Details of Measurement'!B73</f>
        <v>Earth Filling Work</v>
      </c>
      <c r="C53" s="208">
        <f>'Details of Measurement'!$K$75</f>
        <v>2636.4318750000002</v>
      </c>
      <c r="D53" s="116" t="str">
        <f>'Details of Measurement'!$J$75</f>
        <v>CFT</v>
      </c>
      <c r="E53" s="136"/>
      <c r="F53" s="118"/>
      <c r="G53" s="135"/>
      <c r="H53" s="117"/>
    </row>
    <row r="54" spans="1:8" ht="19.5" customHeight="1">
      <c r="A54" s="117"/>
      <c r="B54" s="50" t="s">
        <v>85</v>
      </c>
      <c r="C54" s="21"/>
      <c r="D54" s="118"/>
      <c r="E54" s="136"/>
      <c r="F54" s="118"/>
      <c r="G54" s="135"/>
      <c r="H54" s="117"/>
    </row>
    <row r="55" spans="1:8" ht="19.5" customHeight="1">
      <c r="A55" s="117"/>
      <c r="B55" s="51" t="s">
        <v>108</v>
      </c>
      <c r="C55" s="216">
        <f>2636.43*1/100</f>
        <v>26.3643</v>
      </c>
      <c r="D55" s="118" t="s">
        <v>84</v>
      </c>
      <c r="E55" s="136">
        <v>5000</v>
      </c>
      <c r="F55" s="118" t="str">
        <f>'Builder''s Estimate'!$D$55</f>
        <v>No</v>
      </c>
      <c r="G55" s="135">
        <f>C55*E55</f>
        <v>131821.5</v>
      </c>
      <c r="H55" s="117"/>
    </row>
    <row r="56" spans="1:8" ht="19.5" customHeight="1">
      <c r="A56" s="117"/>
      <c r="B56" s="51"/>
      <c r="C56" s="216"/>
      <c r="D56" s="118"/>
      <c r="E56" s="136"/>
      <c r="F56" s="118"/>
      <c r="G56" s="135"/>
      <c r="H56" s="117"/>
    </row>
    <row r="57" spans="1:8" ht="19.5" customHeight="1">
      <c r="A57" s="117">
        <f>'Details of Measurement'!A77</f>
        <v>9</v>
      </c>
      <c r="B57" s="49" t="str">
        <f>'Details of Measurement'!B77</f>
        <v>Sand Filling With Watering &amp; Ramming</v>
      </c>
      <c r="C57" s="208">
        <f>'Details of Measurement'!$K$79</f>
        <v>1645.875</v>
      </c>
      <c r="D57" s="121" t="str">
        <f>'Details of Measurement'!$J$79</f>
        <v>CFT</v>
      </c>
      <c r="E57" s="136"/>
      <c r="F57" s="118"/>
      <c r="G57" s="135"/>
      <c r="H57" s="117"/>
    </row>
    <row r="58" spans="1:8" ht="19.5" customHeight="1">
      <c r="A58" s="117"/>
      <c r="B58" s="50" t="s">
        <v>85</v>
      </c>
      <c r="C58" s="21"/>
      <c r="D58" s="123"/>
      <c r="E58" s="136"/>
      <c r="F58" s="123"/>
      <c r="G58" s="135"/>
      <c r="H58" s="117"/>
    </row>
    <row r="59" spans="1:8" ht="19.5" customHeight="1">
      <c r="A59" s="122"/>
      <c r="B59" s="26" t="s">
        <v>88</v>
      </c>
      <c r="C59" s="21">
        <f>C57*125/100/100</f>
        <v>20.573437500000001</v>
      </c>
      <c r="D59" s="123" t="s">
        <v>93</v>
      </c>
      <c r="E59" s="136">
        <v>85000</v>
      </c>
      <c r="F59" s="124" t="str">
        <f>'Builder''s Estimate'!D59</f>
        <v>sud</v>
      </c>
      <c r="G59" s="135">
        <f>C59*E59</f>
        <v>1748742.1875</v>
      </c>
      <c r="H59" s="122"/>
    </row>
    <row r="60" spans="1:8" ht="19.5" customHeight="1">
      <c r="A60" s="117"/>
      <c r="B60" s="51" t="s">
        <v>108</v>
      </c>
      <c r="C60" s="216">
        <f>C57*1/100</f>
        <v>16.458749999999998</v>
      </c>
      <c r="D60" s="123" t="s">
        <v>84</v>
      </c>
      <c r="E60" s="136">
        <v>5000</v>
      </c>
      <c r="F60" s="123" t="str">
        <f>'Builder''s Estimate'!D60</f>
        <v>No</v>
      </c>
      <c r="G60" s="135">
        <f>C60*E60</f>
        <v>82293.749999999985</v>
      </c>
      <c r="H60" s="117"/>
    </row>
    <row r="61" spans="1:8" ht="19.5" customHeight="1">
      <c r="A61" s="117"/>
      <c r="B61" s="51"/>
      <c r="C61" s="216"/>
      <c r="D61" s="118"/>
      <c r="E61" s="136"/>
      <c r="F61" s="118"/>
      <c r="G61" s="135"/>
      <c r="H61" s="117"/>
    </row>
    <row r="62" spans="1:8" ht="30.75" customHeight="1">
      <c r="A62" s="198">
        <f>'Details of Measurement'!A81</f>
        <v>10</v>
      </c>
      <c r="B62" s="206" t="str">
        <f>'Details of Measurement'!B81</f>
        <v>4½" thk; (1:3:6) Concrete Flooring with Water Proof Plastic Sheet</v>
      </c>
      <c r="C62" s="208">
        <f>'Details of Measurement'!K83</f>
        <v>625.4325</v>
      </c>
      <c r="D62" s="197" t="str">
        <f>'Details of Measurement'!J83</f>
        <v>CFT</v>
      </c>
      <c r="E62" s="205"/>
      <c r="F62" s="49"/>
      <c r="G62" s="204"/>
      <c r="H62" s="198"/>
    </row>
    <row r="63" spans="1:8" ht="19.5" customHeight="1">
      <c r="A63" s="117"/>
      <c r="B63" s="50" t="s">
        <v>85</v>
      </c>
      <c r="C63" s="21"/>
      <c r="D63" s="122"/>
      <c r="E63" s="135"/>
      <c r="F63" s="122"/>
      <c r="G63" s="135"/>
      <c r="H63" s="117"/>
    </row>
    <row r="64" spans="1:8" ht="19.5" customHeight="1">
      <c r="A64" s="122"/>
      <c r="B64" s="51" t="s">
        <v>89</v>
      </c>
      <c r="C64" s="21">
        <f>C62*1140/100/112</f>
        <v>63.660093750000001</v>
      </c>
      <c r="D64" s="123" t="s">
        <v>91</v>
      </c>
      <c r="E64" s="136">
        <v>5700</v>
      </c>
      <c r="F64" s="123" t="str">
        <f>'Builder''s Estimate'!D64</f>
        <v>Bags</v>
      </c>
      <c r="G64" s="135">
        <f>C64*E64</f>
        <v>362862.53437499999</v>
      </c>
      <c r="H64" s="122"/>
    </row>
    <row r="65" spans="1:8" ht="19.5" customHeight="1">
      <c r="A65" s="122"/>
      <c r="B65" s="51" t="s">
        <v>187</v>
      </c>
      <c r="C65" s="21">
        <f>C62*96/100/100</f>
        <v>6.0041520000000004</v>
      </c>
      <c r="D65" s="123" t="s">
        <v>86</v>
      </c>
      <c r="E65" s="136">
        <v>90000</v>
      </c>
      <c r="F65" s="123" t="str">
        <f>'Builder''s Estimate'!D65</f>
        <v>Sud</v>
      </c>
      <c r="G65" s="135">
        <f>C65*E65</f>
        <v>540373.68000000005</v>
      </c>
      <c r="H65" s="122"/>
    </row>
    <row r="66" spans="1:8" ht="19.5" customHeight="1">
      <c r="A66" s="122"/>
      <c r="B66" s="51" t="s">
        <v>88</v>
      </c>
      <c r="C66" s="21">
        <f>C62*48/100/100</f>
        <v>3.0020760000000002</v>
      </c>
      <c r="D66" s="123" t="s">
        <v>93</v>
      </c>
      <c r="E66" s="136">
        <v>85000</v>
      </c>
      <c r="F66" s="123" t="str">
        <f>'Builder''s Estimate'!D66</f>
        <v>sud</v>
      </c>
      <c r="G66" s="135">
        <f>C66*E66</f>
        <v>255176.46000000002</v>
      </c>
      <c r="H66" s="122"/>
    </row>
    <row r="67" spans="1:8" ht="19.5" customHeight="1">
      <c r="A67" s="122"/>
      <c r="B67" s="51" t="s">
        <v>90</v>
      </c>
      <c r="C67" s="21">
        <f>C62*1/100</f>
        <v>6.2543249999999997</v>
      </c>
      <c r="D67" s="123" t="s">
        <v>84</v>
      </c>
      <c r="E67" s="136">
        <v>6500</v>
      </c>
      <c r="F67" s="123" t="str">
        <f>'Builder''s Estimate'!D67</f>
        <v>No</v>
      </c>
      <c r="G67" s="135">
        <f>C67*E67</f>
        <v>40653.112499999996</v>
      </c>
      <c r="H67" s="122"/>
    </row>
    <row r="68" spans="1:8" ht="19.5" customHeight="1">
      <c r="A68" s="122"/>
      <c r="B68" s="51" t="s">
        <v>83</v>
      </c>
      <c r="C68" s="21">
        <f>C62*8/100</f>
        <v>50.034599999999998</v>
      </c>
      <c r="D68" s="123" t="s">
        <v>84</v>
      </c>
      <c r="E68" s="136">
        <v>5000</v>
      </c>
      <c r="F68" s="123" t="str">
        <f>'Builder''s Estimate'!D68</f>
        <v>No</v>
      </c>
      <c r="G68" s="135">
        <f>C68*E68</f>
        <v>250173</v>
      </c>
      <c r="H68" s="122"/>
    </row>
    <row r="69" spans="1:8" ht="19.5" customHeight="1">
      <c r="A69" s="122"/>
      <c r="B69" s="51"/>
      <c r="C69" s="21"/>
      <c r="D69" s="123"/>
      <c r="E69" s="136"/>
      <c r="F69" s="123"/>
      <c r="G69" s="135"/>
      <c r="H69" s="122"/>
    </row>
    <row r="70" spans="1:8" ht="19.5" customHeight="1">
      <c r="A70" s="122">
        <f>'Details of Measurement'!A85</f>
        <v>11</v>
      </c>
      <c r="B70" s="49" t="str">
        <f>'Details of Measurement'!B85</f>
        <v>1½" thk; (1:2:4) Concrete Floor Topping</v>
      </c>
      <c r="C70" s="208">
        <f>'Details of Measurement'!$K$87</f>
        <v>1763.4</v>
      </c>
      <c r="D70" s="121" t="str">
        <f>'Details of Measurement'!$J$87</f>
        <v>SFT</v>
      </c>
      <c r="E70" s="136"/>
      <c r="F70" s="123"/>
      <c r="G70" s="135"/>
      <c r="H70" s="122"/>
    </row>
    <row r="71" spans="1:8" ht="19.5" customHeight="1">
      <c r="A71" s="122"/>
      <c r="B71" s="50" t="s">
        <v>85</v>
      </c>
      <c r="C71" s="21"/>
      <c r="D71" s="122"/>
      <c r="E71" s="135"/>
      <c r="F71" s="122"/>
      <c r="G71" s="135"/>
      <c r="H71" s="122"/>
    </row>
    <row r="72" spans="1:8" ht="19.5" customHeight="1">
      <c r="A72" s="122"/>
      <c r="B72" s="51" t="s">
        <v>89</v>
      </c>
      <c r="C72" s="21">
        <f>C70*259/100/112</f>
        <v>40.778624999999998</v>
      </c>
      <c r="D72" s="123" t="s">
        <v>91</v>
      </c>
      <c r="E72" s="136">
        <v>5700</v>
      </c>
      <c r="F72" s="123" t="str">
        <f>'Builder''s Estimate'!D72</f>
        <v>Bags</v>
      </c>
      <c r="G72" s="135">
        <f>C72*E72</f>
        <v>232438.16249999998</v>
      </c>
      <c r="H72" s="122"/>
    </row>
    <row r="73" spans="1:8" ht="19.5" customHeight="1">
      <c r="A73" s="122"/>
      <c r="B73" s="51" t="s">
        <v>187</v>
      </c>
      <c r="C73" s="21">
        <f>C70*11.5/100/100</f>
        <v>2.0279100000000003</v>
      </c>
      <c r="D73" s="123" t="s">
        <v>86</v>
      </c>
      <c r="E73" s="136">
        <v>90000</v>
      </c>
      <c r="F73" s="123" t="str">
        <f>'Builder''s Estimate'!D73</f>
        <v>Sud</v>
      </c>
      <c r="G73" s="135">
        <f>C73*E73</f>
        <v>182511.90000000002</v>
      </c>
      <c r="H73" s="122"/>
    </row>
    <row r="74" spans="1:8" ht="19.5" customHeight="1">
      <c r="A74" s="122"/>
      <c r="B74" s="51" t="s">
        <v>88</v>
      </c>
      <c r="C74" s="21">
        <f>C70*5.75/100/100</f>
        <v>1.0139550000000002</v>
      </c>
      <c r="D74" s="123" t="s">
        <v>93</v>
      </c>
      <c r="E74" s="136">
        <v>85000</v>
      </c>
      <c r="F74" s="123" t="str">
        <f>'Builder''s Estimate'!D74</f>
        <v>sud</v>
      </c>
      <c r="G74" s="135">
        <f>C74*E74</f>
        <v>86186.175000000017</v>
      </c>
      <c r="H74" s="122"/>
    </row>
    <row r="75" spans="1:8" ht="19.5" customHeight="1">
      <c r="A75" s="122"/>
      <c r="B75" s="51" t="s">
        <v>90</v>
      </c>
      <c r="C75" s="21">
        <f>C70*0.75/100</f>
        <v>13.225500000000002</v>
      </c>
      <c r="D75" s="123" t="s">
        <v>84</v>
      </c>
      <c r="E75" s="136">
        <v>6500</v>
      </c>
      <c r="F75" s="123" t="str">
        <f>'Builder''s Estimate'!D75</f>
        <v>No</v>
      </c>
      <c r="G75" s="135">
        <f>C75*E75</f>
        <v>85965.750000000015</v>
      </c>
      <c r="H75" s="122"/>
    </row>
    <row r="76" spans="1:8" ht="19.5" customHeight="1">
      <c r="A76" s="122"/>
      <c r="B76" s="51" t="s">
        <v>83</v>
      </c>
      <c r="C76" s="21">
        <f>C70*1.5/100</f>
        <v>26.451000000000004</v>
      </c>
      <c r="D76" s="123" t="s">
        <v>84</v>
      </c>
      <c r="E76" s="136">
        <v>5000</v>
      </c>
      <c r="F76" s="123" t="str">
        <f>'Builder''s Estimate'!D76</f>
        <v>No</v>
      </c>
      <c r="G76" s="135">
        <f>C76*E76</f>
        <v>132255.00000000003</v>
      </c>
      <c r="H76" s="122"/>
    </row>
    <row r="77" spans="1:8" ht="19.5" customHeight="1">
      <c r="A77" s="122"/>
      <c r="B77" s="51"/>
      <c r="C77" s="21"/>
      <c r="D77" s="123"/>
      <c r="E77" s="136"/>
      <c r="F77" s="123"/>
      <c r="G77" s="135"/>
      <c r="H77" s="122"/>
    </row>
    <row r="78" spans="1:8" ht="19.5" customHeight="1">
      <c r="A78" s="122">
        <f>'Details of Measurement'!A89</f>
        <v>12</v>
      </c>
      <c r="B78" s="49" t="str">
        <f>'Details of Measurement'!B89</f>
        <v>(1:2:4) RC Concrete Work</v>
      </c>
      <c r="C78" s="208">
        <f>'Details of Measurement'!$K$103</f>
        <v>894.26812499999994</v>
      </c>
      <c r="D78" s="121" t="str">
        <f>'Details of Measurement'!$J$103</f>
        <v>CFT</v>
      </c>
      <c r="E78" s="136"/>
      <c r="F78" s="123"/>
      <c r="G78" s="135"/>
      <c r="H78" s="122"/>
    </row>
    <row r="79" spans="1:8" ht="19.5" customHeight="1">
      <c r="A79" s="122"/>
      <c r="B79" s="50" t="s">
        <v>85</v>
      </c>
      <c r="C79" s="21"/>
      <c r="D79" s="122"/>
      <c r="E79" s="135"/>
      <c r="F79" s="122"/>
      <c r="G79" s="135"/>
      <c r="H79" s="122"/>
    </row>
    <row r="80" spans="1:8" ht="19.5" customHeight="1">
      <c r="A80" s="122"/>
      <c r="B80" s="51" t="s">
        <v>89</v>
      </c>
      <c r="C80" s="21">
        <f>C78*2070/100/112</f>
        <v>165.27991238839283</v>
      </c>
      <c r="D80" s="123" t="s">
        <v>91</v>
      </c>
      <c r="E80" s="136">
        <v>5700</v>
      </c>
      <c r="F80" s="123" t="str">
        <f>'Builder''s Estimate'!D80</f>
        <v>Bags</v>
      </c>
      <c r="G80" s="135">
        <f>C80*E80</f>
        <v>942095.50061383913</v>
      </c>
      <c r="H80" s="122"/>
    </row>
    <row r="81" spans="1:12" ht="19.5" customHeight="1">
      <c r="A81" s="122"/>
      <c r="B81" s="51" t="s">
        <v>187</v>
      </c>
      <c r="C81" s="21">
        <f>C78*92/100/100</f>
        <v>8.2272667500000001</v>
      </c>
      <c r="D81" s="123" t="s">
        <v>93</v>
      </c>
      <c r="E81" s="136">
        <v>90000</v>
      </c>
      <c r="F81" s="123" t="str">
        <f>'Builder''s Estimate'!D81</f>
        <v>sud</v>
      </c>
      <c r="G81" s="135">
        <f>C81*E81</f>
        <v>740454.00749999995</v>
      </c>
      <c r="H81" s="122"/>
    </row>
    <row r="82" spans="1:12" ht="19.5" customHeight="1">
      <c r="A82" s="122"/>
      <c r="B82" s="51" t="s">
        <v>88</v>
      </c>
      <c r="C82" s="21">
        <f>C78*46/100/100</f>
        <v>4.113633375</v>
      </c>
      <c r="D82" s="123" t="s">
        <v>93</v>
      </c>
      <c r="E82" s="136">
        <v>85000</v>
      </c>
      <c r="F82" s="123" t="str">
        <f>'Builder''s Estimate'!D82</f>
        <v>sud</v>
      </c>
      <c r="G82" s="135">
        <f>C82*E82</f>
        <v>349658.83687499998</v>
      </c>
      <c r="H82" s="122"/>
    </row>
    <row r="83" spans="1:12" ht="19.5" customHeight="1">
      <c r="A83" s="122"/>
      <c r="B83" s="51" t="s">
        <v>90</v>
      </c>
      <c r="C83" s="21">
        <f>C78*2/100</f>
        <v>17.885362499999999</v>
      </c>
      <c r="D83" s="123" t="s">
        <v>84</v>
      </c>
      <c r="E83" s="136">
        <v>6500</v>
      </c>
      <c r="F83" s="123" t="str">
        <f>'Builder''s Estimate'!D83</f>
        <v>No</v>
      </c>
      <c r="G83" s="135">
        <f>C83*E83</f>
        <v>116254.85625</v>
      </c>
      <c r="H83" s="122"/>
    </row>
    <row r="84" spans="1:12" ht="19.5" customHeight="1">
      <c r="A84" s="20"/>
      <c r="B84" s="51" t="s">
        <v>83</v>
      </c>
      <c r="C84" s="21">
        <f>C78*15/100</f>
        <v>134.14021874999997</v>
      </c>
      <c r="D84" s="123" t="s">
        <v>84</v>
      </c>
      <c r="E84" s="136">
        <v>5000</v>
      </c>
      <c r="F84" s="123" t="str">
        <f>'Builder''s Estimate'!D84</f>
        <v>No</v>
      </c>
      <c r="G84" s="135">
        <f>C84*E84</f>
        <v>670701.09374999988</v>
      </c>
      <c r="H84" s="20"/>
    </row>
    <row r="85" spans="1:12" ht="19.5" customHeight="1">
      <c r="A85" s="122"/>
      <c r="B85" s="51"/>
      <c r="C85" s="21"/>
      <c r="D85" s="123"/>
      <c r="E85" s="136"/>
      <c r="F85" s="123"/>
      <c r="G85" s="135"/>
      <c r="H85" s="122"/>
    </row>
    <row r="86" spans="1:12" ht="19.5" customHeight="1">
      <c r="A86" s="20">
        <v>13</v>
      </c>
      <c r="B86" s="53" t="s">
        <v>31</v>
      </c>
      <c r="C86" s="34">
        <f>'Details of Measurement'!K168</f>
        <v>10211.919660187936</v>
      </c>
      <c r="D86" s="218" t="str">
        <f>'Details of Measurement'!J168</f>
        <v>Lb</v>
      </c>
      <c r="E86" s="134"/>
      <c r="F86" s="40"/>
      <c r="G86" s="135"/>
      <c r="H86" s="20"/>
      <c r="K86" s="47" t="s">
        <v>340</v>
      </c>
      <c r="L86" s="5">
        <f>C88</f>
        <v>3.8483353333986838</v>
      </c>
    </row>
    <row r="87" spans="1:12" ht="19.5" customHeight="1">
      <c r="A87" s="20"/>
      <c r="B87" s="50" t="s">
        <v>85</v>
      </c>
      <c r="C87" s="229">
        <f>C88+C89+C90+C91</f>
        <v>4.8650252464597692</v>
      </c>
      <c r="D87" s="230" t="s">
        <v>57</v>
      </c>
      <c r="E87" s="135"/>
      <c r="F87" s="20"/>
      <c r="G87" s="135"/>
      <c r="H87" s="20"/>
      <c r="K87" s="47" t="s">
        <v>341</v>
      </c>
      <c r="L87" s="5">
        <f>C89</f>
        <v>0.23745664895934873</v>
      </c>
    </row>
    <row r="88" spans="1:12" ht="19.5" customHeight="1">
      <c r="A88" s="20"/>
      <c r="B88" s="54" t="s">
        <v>120</v>
      </c>
      <c r="C88" s="62">
        <f>('Details of Measurement'!F168+('Details of Measurement'!F168*5/100))/2204</f>
        <v>3.8483353333986838</v>
      </c>
      <c r="D88" s="56" t="s">
        <v>57</v>
      </c>
      <c r="E88" s="135">
        <v>580000</v>
      </c>
      <c r="F88" s="20" t="str">
        <f>'Builder''s Estimate'!D88</f>
        <v>Ton</v>
      </c>
      <c r="G88" s="135">
        <f t="shared" ref="G88:G94" si="1">C88*E88</f>
        <v>2232034.4933712366</v>
      </c>
      <c r="H88" s="20"/>
      <c r="K88" s="47" t="s">
        <v>342</v>
      </c>
      <c r="L88" s="5">
        <f>C90</f>
        <v>0.74804551079156589</v>
      </c>
    </row>
    <row r="89" spans="1:12" ht="19.5" customHeight="1">
      <c r="A89" s="20"/>
      <c r="B89" s="54" t="s">
        <v>121</v>
      </c>
      <c r="C89" s="62">
        <f>('Details of Measurement'!G168+('Details of Measurement'!G168*5/100))/2204</f>
        <v>0.23745664895934873</v>
      </c>
      <c r="D89" s="56" t="s">
        <v>57</v>
      </c>
      <c r="E89" s="135">
        <v>610000</v>
      </c>
      <c r="F89" s="20" t="str">
        <f>'Builder''s Estimate'!D89</f>
        <v>Ton</v>
      </c>
      <c r="G89" s="135">
        <f t="shared" si="1"/>
        <v>144848.55586520274</v>
      </c>
      <c r="H89" s="20"/>
      <c r="K89" s="47" t="s">
        <v>343</v>
      </c>
      <c r="L89" s="5">
        <f>C91</f>
        <v>3.1187753310170874E-2</v>
      </c>
    </row>
    <row r="90" spans="1:12" ht="19.5" customHeight="1">
      <c r="A90" s="20"/>
      <c r="B90" s="54" t="s">
        <v>122</v>
      </c>
      <c r="C90" s="62">
        <f>('Details of Measurement'!H168+('Details of Measurement'!H168*5/100))/2204</f>
        <v>0.74804551079156589</v>
      </c>
      <c r="D90" s="56" t="s">
        <v>57</v>
      </c>
      <c r="E90" s="135">
        <v>610000</v>
      </c>
      <c r="F90" s="20" t="str">
        <f>'Builder''s Estimate'!D90</f>
        <v>Ton</v>
      </c>
      <c r="G90" s="135">
        <f t="shared" si="1"/>
        <v>456307.76158285519</v>
      </c>
      <c r="H90" s="20"/>
      <c r="K90" s="47" t="s">
        <v>97</v>
      </c>
      <c r="L90" s="5">
        <f>C92</f>
        <v>27.027918035887605</v>
      </c>
    </row>
    <row r="91" spans="1:12" ht="19.5" customHeight="1">
      <c r="A91" s="210"/>
      <c r="B91" s="54" t="s">
        <v>301</v>
      </c>
      <c r="C91" s="62">
        <f>('Details of Measurement'!I168+'Details of Measurement'!I168*5/100)/2204</f>
        <v>3.1187753310170874E-2</v>
      </c>
      <c r="D91" s="56" t="s">
        <v>57</v>
      </c>
      <c r="E91" s="135">
        <v>610000</v>
      </c>
      <c r="F91" s="210" t="str">
        <f>'Builder''s Estimate'!D91</f>
        <v>Ton</v>
      </c>
      <c r="G91" s="135">
        <f t="shared" si="1"/>
        <v>19024.529519204232</v>
      </c>
      <c r="H91" s="210"/>
      <c r="J91" s="5"/>
      <c r="K91" s="47" t="s">
        <v>130</v>
      </c>
      <c r="L91" s="5">
        <f>C98</f>
        <v>2.823305</v>
      </c>
    </row>
    <row r="92" spans="1:12" ht="20.25" customHeight="1">
      <c r="A92" s="20"/>
      <c r="B92" s="57" t="s">
        <v>97</v>
      </c>
      <c r="C92" s="62">
        <f>C87*20/3.6</f>
        <v>27.027918035887605</v>
      </c>
      <c r="D92" s="56" t="s">
        <v>98</v>
      </c>
      <c r="E92" s="136">
        <v>1620</v>
      </c>
      <c r="F92" s="25" t="str">
        <f>'Builder''s Estimate'!D92</f>
        <v>Viss</v>
      </c>
      <c r="G92" s="135">
        <f t="shared" si="1"/>
        <v>43785.227218137923</v>
      </c>
      <c r="H92" s="20"/>
      <c r="K92" s="47" t="s">
        <v>345</v>
      </c>
      <c r="L92" s="5">
        <f>C99</f>
        <v>32.350369791666672</v>
      </c>
    </row>
    <row r="93" spans="1:12" ht="20.25" customHeight="1">
      <c r="A93" s="20"/>
      <c r="B93" s="57" t="s">
        <v>99</v>
      </c>
      <c r="C93" s="62">
        <f>C87*20</f>
        <v>97.300504929195384</v>
      </c>
      <c r="D93" s="56" t="s">
        <v>84</v>
      </c>
      <c r="E93" s="136">
        <v>6500</v>
      </c>
      <c r="F93" s="25" t="str">
        <f>'Builder''s Estimate'!D93</f>
        <v>No</v>
      </c>
      <c r="G93" s="135">
        <f t="shared" si="1"/>
        <v>632453.28203977004</v>
      </c>
      <c r="H93" s="20"/>
      <c r="K93" s="47" t="s">
        <v>107</v>
      </c>
      <c r="L93" s="5">
        <f>C100+C129+C139+C145+C206</f>
        <v>33.327796794624483</v>
      </c>
    </row>
    <row r="94" spans="1:12" ht="20.25" customHeight="1">
      <c r="A94" s="20"/>
      <c r="B94" s="57" t="s">
        <v>83</v>
      </c>
      <c r="C94" s="62">
        <f>C87*20</f>
        <v>97.300504929195384</v>
      </c>
      <c r="D94" s="56" t="s">
        <v>84</v>
      </c>
      <c r="E94" s="136">
        <v>5000</v>
      </c>
      <c r="F94" s="25" t="str">
        <f>'Builder''s Estimate'!D94</f>
        <v>No</v>
      </c>
      <c r="G94" s="135">
        <f t="shared" si="1"/>
        <v>486502.5246459769</v>
      </c>
      <c r="H94" s="20"/>
    </row>
    <row r="95" spans="1:12" ht="20.25" customHeight="1">
      <c r="A95" s="220"/>
      <c r="B95" s="57"/>
      <c r="C95" s="62"/>
      <c r="D95" s="56"/>
      <c r="E95" s="136"/>
      <c r="F95" s="219"/>
      <c r="G95" s="135"/>
      <c r="H95" s="220"/>
    </row>
    <row r="96" spans="1:12" ht="20.25" customHeight="1">
      <c r="A96" s="144">
        <f>'Details of Measurement'!A171</f>
        <v>14</v>
      </c>
      <c r="B96" s="49" t="str">
        <f>'Details of Measurement'!B171</f>
        <v>Formwork</v>
      </c>
      <c r="C96" s="208">
        <f>'Details of Measurement'!K200</f>
        <v>2823.3050000000003</v>
      </c>
      <c r="D96" s="143" t="str">
        <f>'Details of Measurement'!J200</f>
        <v>SFT</v>
      </c>
      <c r="E96" s="145"/>
      <c r="F96" s="143"/>
      <c r="G96" s="135"/>
      <c r="H96" s="144"/>
    </row>
    <row r="97" spans="1:11" ht="20.25" customHeight="1">
      <c r="A97" s="144"/>
      <c r="B97" s="50" t="s">
        <v>85</v>
      </c>
      <c r="C97" s="21"/>
      <c r="D97" s="144"/>
      <c r="E97" s="135"/>
      <c r="F97" s="144"/>
      <c r="G97" s="135"/>
      <c r="H97" s="144"/>
    </row>
    <row r="98" spans="1:11" ht="20.25" customHeight="1">
      <c r="A98" s="144"/>
      <c r="B98" s="51" t="s">
        <v>110</v>
      </c>
      <c r="C98" s="21">
        <f>C96*15/100/50/3</f>
        <v>2.823305</v>
      </c>
      <c r="D98" s="146" t="s">
        <v>57</v>
      </c>
      <c r="E98" s="136">
        <v>650000</v>
      </c>
      <c r="F98" s="146" t="str">
        <f>'Builder''s Estimate'!D98</f>
        <v>Ton</v>
      </c>
      <c r="G98" s="135">
        <f>C98*E98</f>
        <v>1835148.25</v>
      </c>
      <c r="H98" s="144"/>
    </row>
    <row r="99" spans="1:11" ht="20.25" customHeight="1">
      <c r="A99" s="144"/>
      <c r="B99" s="51" t="s">
        <v>344</v>
      </c>
      <c r="C99" s="21">
        <f>C96*110/100/32/3</f>
        <v>32.350369791666672</v>
      </c>
      <c r="D99" s="146" t="s">
        <v>109</v>
      </c>
      <c r="E99" s="136">
        <v>17600</v>
      </c>
      <c r="F99" s="146" t="str">
        <f>'Builder''s Estimate'!D99</f>
        <v>Sheet</v>
      </c>
      <c r="G99" s="135">
        <f>C99*E99</f>
        <v>569366.50833333342</v>
      </c>
      <c r="H99" s="144"/>
    </row>
    <row r="100" spans="1:11" ht="20.25" customHeight="1">
      <c r="A100" s="144"/>
      <c r="B100" s="51" t="s">
        <v>107</v>
      </c>
      <c r="C100" s="21">
        <f>C96*3/100/3.6</f>
        <v>23.527541666666668</v>
      </c>
      <c r="D100" s="146" t="s">
        <v>98</v>
      </c>
      <c r="E100" s="136">
        <v>2340</v>
      </c>
      <c r="F100" s="146" t="str">
        <f>'Builder''s Estimate'!D100</f>
        <v>Viss</v>
      </c>
      <c r="G100" s="135">
        <f>C100*E100</f>
        <v>55054.447500000002</v>
      </c>
      <c r="H100" s="144"/>
    </row>
    <row r="101" spans="1:11" ht="20.25" customHeight="1">
      <c r="A101" s="144"/>
      <c r="B101" s="51" t="s">
        <v>101</v>
      </c>
      <c r="C101" s="21">
        <f>C96*4/100</f>
        <v>112.93220000000001</v>
      </c>
      <c r="D101" s="146" t="s">
        <v>84</v>
      </c>
      <c r="E101" s="136">
        <v>6500</v>
      </c>
      <c r="F101" s="146" t="str">
        <f>'Builder''s Estimate'!D101</f>
        <v>No</v>
      </c>
      <c r="G101" s="135">
        <f>C101*E101</f>
        <v>734059.3</v>
      </c>
      <c r="H101" s="144"/>
    </row>
    <row r="102" spans="1:11" ht="20.25" customHeight="1">
      <c r="A102" s="144"/>
      <c r="B102" s="51" t="s">
        <v>83</v>
      </c>
      <c r="C102" s="21">
        <f>C96*2/100</f>
        <v>56.466100000000004</v>
      </c>
      <c r="D102" s="146" t="s">
        <v>84</v>
      </c>
      <c r="E102" s="136">
        <v>5000</v>
      </c>
      <c r="F102" s="146" t="str">
        <f>'Builder''s Estimate'!D102</f>
        <v>No</v>
      </c>
      <c r="G102" s="135">
        <f>C102*E102</f>
        <v>282330.5</v>
      </c>
      <c r="H102" s="144"/>
    </row>
    <row r="103" spans="1:11" ht="20.25" customHeight="1">
      <c r="A103" s="144"/>
      <c r="B103" s="57"/>
      <c r="C103" s="55"/>
      <c r="D103" s="56"/>
      <c r="E103" s="136"/>
      <c r="F103" s="146"/>
      <c r="G103" s="135"/>
      <c r="H103" s="144"/>
    </row>
    <row r="104" spans="1:11" ht="19.5" customHeight="1">
      <c r="A104" s="20">
        <f>'Details of Measurement'!A202</f>
        <v>15</v>
      </c>
      <c r="B104" s="53" t="str">
        <f>'Details of Measurement'!B202</f>
        <v>Steel Structure Roofing Work</v>
      </c>
      <c r="C104" s="208">
        <f>'Details of Measurement'!K205+'Details of Measurement'!K221+'Details of Measurement'!K237+'Details of Measurement'!K244</f>
        <v>2192.56</v>
      </c>
      <c r="D104" s="209" t="str">
        <f>'Details of Measurement'!J244</f>
        <v>RFT</v>
      </c>
      <c r="E104" s="135"/>
      <c r="F104" s="20"/>
      <c r="G104" s="135"/>
      <c r="H104" s="20"/>
    </row>
    <row r="105" spans="1:11" ht="19.5" customHeight="1">
      <c r="A105" s="210"/>
      <c r="B105" s="59" t="s">
        <v>85</v>
      </c>
      <c r="C105" s="208"/>
      <c r="D105" s="209"/>
      <c r="E105" s="135"/>
      <c r="F105" s="210"/>
      <c r="G105" s="135"/>
      <c r="H105" s="210"/>
    </row>
    <row r="106" spans="1:11" ht="19.5" customHeight="1">
      <c r="A106" s="20"/>
      <c r="B106" s="58" t="s">
        <v>115</v>
      </c>
      <c r="C106" s="21">
        <f>'Details of Measurement'!K205+('Details of Measurement'!K205*5/100)</f>
        <v>213.34950000000001</v>
      </c>
      <c r="D106" s="25" t="str">
        <f>'Details of Measurement'!J205</f>
        <v>RFT</v>
      </c>
      <c r="E106" s="136">
        <v>900</v>
      </c>
      <c r="F106" s="25" t="str">
        <f>'Builder''s Estimate'!D106</f>
        <v>RFT</v>
      </c>
      <c r="G106" s="135">
        <f t="shared" ref="G106:G111" si="2">C106*E106</f>
        <v>192014.55000000002</v>
      </c>
      <c r="H106" s="20"/>
      <c r="J106" s="224"/>
      <c r="K106" s="225"/>
    </row>
    <row r="107" spans="1:11" ht="19.5" customHeight="1">
      <c r="A107" s="20"/>
      <c r="B107" s="58" t="s">
        <v>116</v>
      </c>
      <c r="C107" s="21">
        <f>'Details of Measurement'!K221+('Details of Measurement'!K221*5/100)</f>
        <v>524.75850000000003</v>
      </c>
      <c r="D107" s="25" t="str">
        <f>'Details of Measurement'!J221</f>
        <v>RFT</v>
      </c>
      <c r="E107" s="136">
        <v>870</v>
      </c>
      <c r="F107" s="25" t="str">
        <f>'Builder''s Estimate'!D107</f>
        <v>RFT</v>
      </c>
      <c r="G107" s="135">
        <f t="shared" si="2"/>
        <v>456539.89500000002</v>
      </c>
      <c r="H107" s="20"/>
      <c r="J107" s="226"/>
      <c r="K107" s="225"/>
    </row>
    <row r="108" spans="1:11" ht="19.5" customHeight="1">
      <c r="A108" s="210"/>
      <c r="B108" s="58" t="s">
        <v>118</v>
      </c>
      <c r="C108" s="21">
        <f>'Details of Measurement'!K237+('Details of Measurement'!K237*5/100)</f>
        <v>1325.835</v>
      </c>
      <c r="D108" s="212" t="str">
        <f>'Details of Measurement'!J237</f>
        <v>RFT</v>
      </c>
      <c r="E108" s="136">
        <v>460</v>
      </c>
      <c r="F108" s="211" t="str">
        <f>'Builder''s Estimate'!D108</f>
        <v>RFT</v>
      </c>
      <c r="G108" s="135">
        <f t="shared" si="2"/>
        <v>609884.1</v>
      </c>
      <c r="H108" s="210"/>
      <c r="J108" s="226"/>
      <c r="K108" s="225"/>
    </row>
    <row r="109" spans="1:11" ht="19.5" customHeight="1">
      <c r="A109" s="20"/>
      <c r="B109" s="58" t="s">
        <v>117</v>
      </c>
      <c r="C109" s="21">
        <f>'Details of Measurement'!K244+('Details of Measurement'!K244*5/100)</f>
        <v>238.245</v>
      </c>
      <c r="D109" s="25" t="str">
        <f>'Details of Measurement'!J244</f>
        <v>RFT</v>
      </c>
      <c r="E109" s="136">
        <v>350</v>
      </c>
      <c r="F109" s="25" t="str">
        <f>'Builder''s Estimate'!D109</f>
        <v>RFT</v>
      </c>
      <c r="G109" s="135">
        <f t="shared" si="2"/>
        <v>83385.75</v>
      </c>
      <c r="H109" s="20"/>
      <c r="J109" s="227"/>
      <c r="K109" s="228"/>
    </row>
    <row r="110" spans="1:11" ht="19.5" customHeight="1">
      <c r="A110" s="20"/>
      <c r="B110" s="60" t="s">
        <v>99</v>
      </c>
      <c r="C110" s="229">
        <f>C104*20/1000</f>
        <v>43.851199999999999</v>
      </c>
      <c r="D110" s="56" t="s">
        <v>84</v>
      </c>
      <c r="E110" s="136">
        <v>6500</v>
      </c>
      <c r="F110" s="56" t="str">
        <f>'Builder''s Estimate'!D110</f>
        <v>No</v>
      </c>
      <c r="G110" s="135">
        <f t="shared" si="2"/>
        <v>285032.8</v>
      </c>
      <c r="H110" s="20"/>
    </row>
    <row r="111" spans="1:11" ht="19.5" customHeight="1">
      <c r="A111" s="20"/>
      <c r="B111" s="60" t="s">
        <v>108</v>
      </c>
      <c r="C111" s="229">
        <f>C104*15/1000</f>
        <v>32.888400000000004</v>
      </c>
      <c r="D111" s="56" t="s">
        <v>84</v>
      </c>
      <c r="E111" s="136">
        <v>5000</v>
      </c>
      <c r="F111" s="56" t="str">
        <f>'Builder''s Estimate'!D111</f>
        <v>No</v>
      </c>
      <c r="G111" s="135">
        <f t="shared" si="2"/>
        <v>164442.00000000003</v>
      </c>
      <c r="H111" s="20"/>
    </row>
    <row r="112" spans="1:11" ht="19.5" customHeight="1">
      <c r="A112" s="20"/>
      <c r="B112" s="51"/>
      <c r="C112" s="21"/>
      <c r="D112" s="25"/>
      <c r="E112" s="136"/>
      <c r="F112" s="25"/>
      <c r="G112" s="135"/>
      <c r="H112" s="20"/>
    </row>
    <row r="113" spans="1:12" ht="19.5" customHeight="1">
      <c r="A113" s="20">
        <f>'Details of Measurement'!A246</f>
        <v>16</v>
      </c>
      <c r="B113" s="53" t="str">
        <f>'Details of Measurement'!B246</f>
        <v>4 angle Colour Sheet Roofing (0.4mm thk:)</v>
      </c>
      <c r="C113" s="208">
        <f>'Details of Measurement'!K247</f>
        <v>2423.3173124999998</v>
      </c>
      <c r="D113" s="40" t="str">
        <f>'Details of Measurement'!J247</f>
        <v>SFT</v>
      </c>
      <c r="E113" s="134"/>
      <c r="F113" s="40"/>
      <c r="G113" s="135"/>
      <c r="H113" s="20"/>
    </row>
    <row r="114" spans="1:12" ht="19.5" customHeight="1">
      <c r="A114" s="20"/>
      <c r="B114" s="50" t="s">
        <v>85</v>
      </c>
      <c r="C114" s="21"/>
      <c r="D114" s="20"/>
      <c r="E114" s="135"/>
      <c r="F114" s="20"/>
      <c r="G114" s="135"/>
      <c r="H114" s="20"/>
      <c r="K114" s="47" t="s">
        <v>346</v>
      </c>
      <c r="L114" s="5">
        <f>C115</f>
        <v>218.09855812499998</v>
      </c>
    </row>
    <row r="115" spans="1:12" ht="19.5" customHeight="1">
      <c r="A115" s="20"/>
      <c r="B115" s="51" t="s">
        <v>324</v>
      </c>
      <c r="C115" s="62">
        <f>C113*9/100</f>
        <v>218.09855812499998</v>
      </c>
      <c r="D115" s="56" t="s">
        <v>84</v>
      </c>
      <c r="E115" s="136">
        <v>1080</v>
      </c>
      <c r="F115" s="219" t="str">
        <f>'Builder''s Estimate'!D115</f>
        <v>No</v>
      </c>
      <c r="G115" s="135">
        <f>C115*E115</f>
        <v>235546.44277499997</v>
      </c>
      <c r="H115" s="20"/>
      <c r="K115" s="47" t="s">
        <v>190</v>
      </c>
      <c r="L115" s="5">
        <f>C116+C123</f>
        <v>1273.4586562499999</v>
      </c>
    </row>
    <row r="116" spans="1:12" ht="19.5" customHeight="1">
      <c r="A116" s="20"/>
      <c r="B116" s="51" t="s">
        <v>190</v>
      </c>
      <c r="C116" s="160">
        <f>C113*50/100</f>
        <v>1211.6586562499999</v>
      </c>
      <c r="D116" s="56" t="s">
        <v>84</v>
      </c>
      <c r="E116" s="136">
        <v>60</v>
      </c>
      <c r="F116" s="25" t="str">
        <f>'Builder''s Estimate'!D116</f>
        <v>No</v>
      </c>
      <c r="G116" s="135">
        <f>C116*E116</f>
        <v>72699.519374999989</v>
      </c>
      <c r="H116" s="20"/>
      <c r="K116" s="47" t="s">
        <v>235</v>
      </c>
      <c r="L116" s="5">
        <f>C122</f>
        <v>138.43199999999999</v>
      </c>
    </row>
    <row r="117" spans="1:12" ht="19.5" customHeight="1">
      <c r="A117" s="20"/>
      <c r="B117" s="51" t="s">
        <v>99</v>
      </c>
      <c r="C117" s="62">
        <f>C113*1.5/100</f>
        <v>36.349759687499997</v>
      </c>
      <c r="D117" s="56" t="s">
        <v>84</v>
      </c>
      <c r="E117" s="136">
        <v>6500</v>
      </c>
      <c r="F117" s="25" t="str">
        <f>'Builder''s Estimate'!D117</f>
        <v>No</v>
      </c>
      <c r="G117" s="135">
        <f>C117*E117</f>
        <v>236273.43796874999</v>
      </c>
      <c r="H117" s="20"/>
      <c r="K117" s="47" t="s">
        <v>348</v>
      </c>
      <c r="L117" s="5">
        <f>C128+C135+C136+C144+C152</f>
        <v>2.0419552674107142</v>
      </c>
    </row>
    <row r="118" spans="1:12" ht="19.5" customHeight="1">
      <c r="A118" s="20"/>
      <c r="B118" s="51" t="s">
        <v>108</v>
      </c>
      <c r="C118" s="62">
        <f>C113*1/100</f>
        <v>24.233173124999997</v>
      </c>
      <c r="D118" s="56" t="s">
        <v>84</v>
      </c>
      <c r="E118" s="136">
        <v>5000</v>
      </c>
      <c r="F118" s="25" t="str">
        <f>'Builder''s Estimate'!D118</f>
        <v>No</v>
      </c>
      <c r="G118" s="135">
        <f>C118*E118</f>
        <v>121165.86562499999</v>
      </c>
      <c r="H118" s="20"/>
    </row>
    <row r="119" spans="1:12" ht="19.5" customHeight="1">
      <c r="A119" s="20"/>
      <c r="B119" s="26"/>
      <c r="C119" s="21"/>
      <c r="D119" s="20"/>
      <c r="E119" s="135"/>
      <c r="F119" s="20"/>
      <c r="G119" s="135"/>
      <c r="H119" s="20"/>
    </row>
    <row r="120" spans="1:12" ht="19.5" customHeight="1">
      <c r="A120" s="210">
        <f>'Details of Measurement'!A249</f>
        <v>17</v>
      </c>
      <c r="B120" s="207" t="str">
        <f>'Details of Measurement'!B249</f>
        <v>Colour Sheet Ridge Covering (0.4mm thk:)</v>
      </c>
      <c r="C120" s="208">
        <f>'Details of Measurement'!K251</f>
        <v>123.6</v>
      </c>
      <c r="D120" s="209" t="str">
        <f>'Details of Measurement'!J251</f>
        <v>RFT</v>
      </c>
      <c r="E120" s="135"/>
      <c r="F120" s="20"/>
      <c r="G120" s="135"/>
      <c r="H120" s="20"/>
    </row>
    <row r="121" spans="1:12" ht="19.5" customHeight="1">
      <c r="A121" s="20"/>
      <c r="B121" s="50" t="s">
        <v>85</v>
      </c>
      <c r="C121" s="21"/>
      <c r="D121" s="20"/>
      <c r="E121" s="135"/>
      <c r="F121" s="20"/>
      <c r="G121" s="135"/>
      <c r="H121" s="20"/>
    </row>
    <row r="122" spans="1:12" ht="19.5" customHeight="1">
      <c r="A122" s="20"/>
      <c r="B122" s="57" t="s">
        <v>347</v>
      </c>
      <c r="C122" s="21">
        <f>C120*112/100</f>
        <v>138.43199999999999</v>
      </c>
      <c r="D122" s="56" t="s">
        <v>56</v>
      </c>
      <c r="E122" s="136">
        <v>700</v>
      </c>
      <c r="F122" s="56" t="str">
        <f>'Builder''s Estimate'!D122</f>
        <v>RFT</v>
      </c>
      <c r="G122" s="135">
        <f>C122*E122</f>
        <v>96902.399999999994</v>
      </c>
      <c r="H122" s="20"/>
    </row>
    <row r="123" spans="1:12" ht="19.5" customHeight="1">
      <c r="A123" s="20"/>
      <c r="B123" s="57" t="s">
        <v>190</v>
      </c>
      <c r="C123" s="62">
        <f>C120*50/100</f>
        <v>61.8</v>
      </c>
      <c r="D123" s="56" t="s">
        <v>84</v>
      </c>
      <c r="E123" s="136">
        <v>60</v>
      </c>
      <c r="F123" s="56" t="str">
        <f>'Builder''s Estimate'!D123</f>
        <v>No</v>
      </c>
      <c r="G123" s="135">
        <f>C123*E123</f>
        <v>3708</v>
      </c>
      <c r="H123" s="20"/>
    </row>
    <row r="124" spans="1:12" ht="19.5" customHeight="1">
      <c r="A124" s="20"/>
      <c r="B124" s="57" t="s">
        <v>101</v>
      </c>
      <c r="C124" s="62">
        <f>C120*3.33/100</f>
        <v>4.1158799999999998</v>
      </c>
      <c r="D124" s="56" t="s">
        <v>84</v>
      </c>
      <c r="E124" s="136">
        <v>6500</v>
      </c>
      <c r="F124" s="56" t="str">
        <f>'Builder''s Estimate'!D124</f>
        <v>No</v>
      </c>
      <c r="G124" s="135">
        <f>C124*E124</f>
        <v>26753.219999999998</v>
      </c>
      <c r="H124" s="20"/>
    </row>
    <row r="125" spans="1:12" ht="19.5" customHeight="1">
      <c r="A125" s="20"/>
      <c r="B125" s="26"/>
      <c r="C125" s="21"/>
      <c r="D125" s="20"/>
      <c r="E125" s="135"/>
      <c r="F125" s="20"/>
      <c r="G125" s="135"/>
      <c r="H125" s="20"/>
    </row>
    <row r="126" spans="1:12" ht="19.5" customHeight="1">
      <c r="A126" s="20">
        <f>'Details of Measurement'!A253</f>
        <v>18</v>
      </c>
      <c r="B126" s="49" t="str">
        <f>'Details of Measurement'!B253</f>
        <v>8"x1" Eave &amp; Verge Board (PKD)</v>
      </c>
      <c r="C126" s="208">
        <f>'Details of Measurement'!K256</f>
        <v>199.92</v>
      </c>
      <c r="D126" s="40" t="str">
        <f>'Details of Measurement'!J256</f>
        <v>RFT</v>
      </c>
      <c r="E126" s="136"/>
      <c r="F126" s="25"/>
      <c r="G126" s="135"/>
      <c r="H126" s="20"/>
    </row>
    <row r="127" spans="1:12" ht="19.5" customHeight="1">
      <c r="A127" s="20"/>
      <c r="B127" s="50" t="s">
        <v>85</v>
      </c>
      <c r="C127" s="21"/>
      <c r="D127" s="20"/>
      <c r="E127" s="135"/>
      <c r="F127" s="20"/>
      <c r="G127" s="135"/>
      <c r="H127" s="20"/>
    </row>
    <row r="128" spans="1:12" ht="19.5" customHeight="1">
      <c r="A128" s="20"/>
      <c r="B128" s="51" t="s">
        <v>106</v>
      </c>
      <c r="C128" s="21">
        <f>C126*6.4/100/50</f>
        <v>0.2558976</v>
      </c>
      <c r="D128" s="211" t="s">
        <v>57</v>
      </c>
      <c r="E128" s="136">
        <v>1200000</v>
      </c>
      <c r="F128" s="25" t="str">
        <f>'Builder''s Estimate'!D128</f>
        <v>Ton</v>
      </c>
      <c r="G128" s="135">
        <f>C128*E128</f>
        <v>307077.12</v>
      </c>
      <c r="H128" s="20"/>
    </row>
    <row r="129" spans="1:12" ht="19.5" customHeight="1">
      <c r="A129" s="210"/>
      <c r="B129" s="51" t="s">
        <v>107</v>
      </c>
      <c r="C129" s="21">
        <f>C126*2/100/3.6</f>
        <v>1.1106666666666665</v>
      </c>
      <c r="D129" s="211" t="s">
        <v>98</v>
      </c>
      <c r="E129" s="136">
        <v>2340</v>
      </c>
      <c r="F129" s="211" t="str">
        <f>'Builder''s Estimate'!D129</f>
        <v>Viss</v>
      </c>
      <c r="G129" s="135">
        <f>C129*E129</f>
        <v>2598.9599999999996</v>
      </c>
      <c r="H129" s="210"/>
    </row>
    <row r="130" spans="1:12" ht="19.5" customHeight="1">
      <c r="A130" s="210"/>
      <c r="B130" s="51" t="s">
        <v>302</v>
      </c>
      <c r="C130" s="21">
        <f>C126*3/100</f>
        <v>5.9976000000000003</v>
      </c>
      <c r="D130" s="211" t="s">
        <v>68</v>
      </c>
      <c r="E130" s="136">
        <v>6500</v>
      </c>
      <c r="F130" s="211" t="str">
        <f>'Builder''s Estimate'!D130</f>
        <v>Nos</v>
      </c>
      <c r="G130" s="135">
        <f>C130*E130</f>
        <v>38984.400000000001</v>
      </c>
      <c r="H130" s="210"/>
    </row>
    <row r="131" spans="1:12" ht="19.5" customHeight="1">
      <c r="A131" s="20"/>
      <c r="B131" s="26"/>
      <c r="C131" s="21"/>
      <c r="D131" s="20"/>
      <c r="E131" s="135"/>
      <c r="F131" s="20"/>
      <c r="G131" s="135"/>
      <c r="H131" s="20"/>
    </row>
    <row r="132" spans="1:12" ht="19.5" customHeight="1">
      <c r="A132" s="20">
        <f>'Details of Measurement'!A258</f>
        <v>19</v>
      </c>
      <c r="B132" s="53" t="str">
        <f>'Details of Measurement'!B258</f>
        <v>Cement Board Ceiling With C-Channel Frame</v>
      </c>
      <c r="C132" s="208">
        <f>'Details of Measurement'!K262</f>
        <v>2166.54</v>
      </c>
      <c r="D132" s="40" t="str">
        <f>'Details of Measurement'!J262</f>
        <v>SFT</v>
      </c>
      <c r="E132" s="134"/>
      <c r="F132" s="40"/>
      <c r="G132" s="135"/>
      <c r="H132" s="20"/>
    </row>
    <row r="133" spans="1:12" ht="19.5" customHeight="1">
      <c r="A133" s="20"/>
      <c r="B133" s="50" t="s">
        <v>85</v>
      </c>
      <c r="C133" s="21"/>
      <c r="D133" s="20"/>
      <c r="E133" s="135"/>
      <c r="F133" s="20"/>
      <c r="G133" s="135"/>
      <c r="H133" s="20"/>
    </row>
    <row r="134" spans="1:12" ht="19.5" customHeight="1">
      <c r="A134" s="20"/>
      <c r="B134" s="57" t="s">
        <v>313</v>
      </c>
      <c r="C134" s="62">
        <f>C132*282/256/4</f>
        <v>596.64480468750003</v>
      </c>
      <c r="D134" s="56" t="s">
        <v>84</v>
      </c>
      <c r="E134" s="136">
        <v>750</v>
      </c>
      <c r="F134" s="25" t="str">
        <f>'Builder''s Estimate'!D134</f>
        <v>No</v>
      </c>
      <c r="G134" s="135">
        <f t="shared" ref="G134:G140" si="3">C134*E134</f>
        <v>447483.603515625</v>
      </c>
      <c r="H134" s="20"/>
      <c r="K134" s="47" t="s">
        <v>349</v>
      </c>
      <c r="L134" s="5">
        <f>C134</f>
        <v>596.64480468750003</v>
      </c>
    </row>
    <row r="135" spans="1:12" ht="19.5" customHeight="1">
      <c r="A135" s="20"/>
      <c r="B135" s="57" t="s">
        <v>314</v>
      </c>
      <c r="C135" s="62">
        <f>C132*3.67/256/50</f>
        <v>0.62118764062499998</v>
      </c>
      <c r="D135" s="56" t="s">
        <v>57</v>
      </c>
      <c r="E135" s="135">
        <v>1200000</v>
      </c>
      <c r="F135" s="25" t="str">
        <f>'Builder''s Estimate'!D135</f>
        <v>Ton</v>
      </c>
      <c r="G135" s="135">
        <f t="shared" si="3"/>
        <v>745425.16874999995</v>
      </c>
      <c r="H135" s="20"/>
      <c r="K135" s="47" t="s">
        <v>100</v>
      </c>
      <c r="L135" s="5">
        <f>C137+C167</f>
        <v>0.23586703452510918</v>
      </c>
    </row>
    <row r="136" spans="1:12" ht="19.5" customHeight="1">
      <c r="A136" s="217"/>
      <c r="B136" s="57" t="s">
        <v>315</v>
      </c>
      <c r="C136" s="62">
        <f>C132*4.6/256/50</f>
        <v>0.77860031249999995</v>
      </c>
      <c r="D136" s="56" t="s">
        <v>57</v>
      </c>
      <c r="E136" s="135">
        <v>1200000</v>
      </c>
      <c r="F136" s="215" t="str">
        <f>'Builder''s Estimate'!D136</f>
        <v>Ton</v>
      </c>
      <c r="G136" s="135">
        <f t="shared" si="3"/>
        <v>934320.37499999988</v>
      </c>
      <c r="H136" s="217"/>
      <c r="K136" s="47" t="s">
        <v>316</v>
      </c>
      <c r="L136" s="5">
        <f>C138+C157</f>
        <v>182.33484375</v>
      </c>
    </row>
    <row r="137" spans="1:12" ht="19.5" customHeight="1">
      <c r="A137" s="217"/>
      <c r="B137" s="57" t="s">
        <v>326</v>
      </c>
      <c r="C137" s="62">
        <f>C132*1.26/256/50</f>
        <v>0.21326878125000001</v>
      </c>
      <c r="D137" s="56" t="s">
        <v>57</v>
      </c>
      <c r="E137" s="135">
        <v>2200000</v>
      </c>
      <c r="F137" s="215" t="str">
        <f>'Builder''s Estimate'!D137</f>
        <v>Ton</v>
      </c>
      <c r="G137" s="135">
        <f t="shared" si="3"/>
        <v>469191.31875000003</v>
      </c>
      <c r="H137" s="217"/>
      <c r="K137" s="47" t="s">
        <v>350</v>
      </c>
      <c r="L137" s="5">
        <f>C146</f>
        <v>18</v>
      </c>
    </row>
    <row r="138" spans="1:12" ht="19.5" customHeight="1">
      <c r="A138" s="217"/>
      <c r="B138" s="57" t="s">
        <v>316</v>
      </c>
      <c r="C138" s="62">
        <f>C132*1.5/256*144/12</f>
        <v>152.33484375</v>
      </c>
      <c r="D138" s="56" t="s">
        <v>126</v>
      </c>
      <c r="E138" s="135">
        <v>250</v>
      </c>
      <c r="F138" s="215" t="str">
        <f>'Builder''s Estimate'!D138</f>
        <v>Doz</v>
      </c>
      <c r="G138" s="135">
        <f t="shared" si="3"/>
        <v>38083.7109375</v>
      </c>
      <c r="H138" s="217"/>
    </row>
    <row r="139" spans="1:12" ht="19.5" customHeight="1">
      <c r="A139" s="217"/>
      <c r="B139" s="57" t="s">
        <v>107</v>
      </c>
      <c r="C139" s="62">
        <f>C132*1.5/256/3.6</f>
        <v>3.5262695312499996</v>
      </c>
      <c r="D139" s="56" t="s">
        <v>98</v>
      </c>
      <c r="E139" s="135">
        <v>2340</v>
      </c>
      <c r="F139" s="215" t="str">
        <f>'Builder''s Estimate'!D139</f>
        <v>Viss</v>
      </c>
      <c r="G139" s="135">
        <f t="shared" si="3"/>
        <v>8251.470703125</v>
      </c>
      <c r="H139" s="217"/>
    </row>
    <row r="140" spans="1:12" ht="19.5" customHeight="1">
      <c r="A140" s="20"/>
      <c r="B140" s="57" t="s">
        <v>101</v>
      </c>
      <c r="C140" s="62">
        <f>C132*7/256</f>
        <v>59.241328124999995</v>
      </c>
      <c r="D140" s="56" t="s">
        <v>84</v>
      </c>
      <c r="E140" s="135">
        <v>6500</v>
      </c>
      <c r="F140" s="25" t="str">
        <f>'Builder''s Estimate'!D140</f>
        <v>No</v>
      </c>
      <c r="G140" s="135">
        <f t="shared" si="3"/>
        <v>385068.63281249994</v>
      </c>
      <c r="H140" s="20"/>
    </row>
    <row r="141" spans="1:12" ht="19.5" customHeight="1">
      <c r="A141" s="20"/>
      <c r="B141" s="26"/>
      <c r="C141" s="21"/>
      <c r="D141" s="20"/>
      <c r="E141" s="135"/>
      <c r="F141" s="20"/>
      <c r="G141" s="135"/>
      <c r="H141" s="20"/>
    </row>
    <row r="142" spans="1:12" ht="19.5" customHeight="1">
      <c r="A142" s="20">
        <f>'Details of Measurement'!A264</f>
        <v>20</v>
      </c>
      <c r="B142" s="49" t="str">
        <f>'Details of Measurement'!B264</f>
        <v>5"x2" PKD Chowket Work</v>
      </c>
      <c r="C142" s="208">
        <f>'Details of Measurement'!K265</f>
        <v>81.99</v>
      </c>
      <c r="D142" s="40" t="str">
        <f>'Details of Measurement'!J265</f>
        <v>RFT</v>
      </c>
      <c r="E142" s="134"/>
      <c r="F142" s="40"/>
      <c r="G142" s="135"/>
      <c r="H142" s="20"/>
    </row>
    <row r="143" spans="1:12" ht="19.5" customHeight="1">
      <c r="A143" s="20"/>
      <c r="B143" s="50" t="s">
        <v>85</v>
      </c>
      <c r="C143" s="21"/>
      <c r="D143" s="210"/>
      <c r="E143" s="135"/>
      <c r="F143" s="210"/>
      <c r="G143" s="135"/>
      <c r="H143" s="20"/>
    </row>
    <row r="144" spans="1:12" ht="19.5" customHeight="1">
      <c r="A144" s="20"/>
      <c r="B144" s="57" t="s">
        <v>303</v>
      </c>
      <c r="C144" s="62">
        <f>C142*8/100/50</f>
        <v>0.131184</v>
      </c>
      <c r="D144" s="56" t="s">
        <v>57</v>
      </c>
      <c r="E144" s="136">
        <v>1200000</v>
      </c>
      <c r="F144" s="211" t="str">
        <f>'Builder''s Estimate'!D144</f>
        <v>Ton</v>
      </c>
      <c r="G144" s="135">
        <f>C144*E144</f>
        <v>157420.79999999999</v>
      </c>
      <c r="H144" s="20"/>
    </row>
    <row r="145" spans="1:8" ht="19.5" customHeight="1">
      <c r="A145" s="20"/>
      <c r="B145" s="57" t="s">
        <v>107</v>
      </c>
      <c r="C145" s="62">
        <f>C142*2/100/3.6</f>
        <v>0.45549999999999996</v>
      </c>
      <c r="D145" s="56" t="s">
        <v>98</v>
      </c>
      <c r="E145" s="135">
        <v>2340</v>
      </c>
      <c r="F145" s="211" t="str">
        <f>'Builder''s Estimate'!D145</f>
        <v>Viss</v>
      </c>
      <c r="G145" s="135">
        <f>C145*E145</f>
        <v>1065.8699999999999</v>
      </c>
      <c r="H145" s="20"/>
    </row>
    <row r="146" spans="1:8" ht="19.5" customHeight="1">
      <c r="A146" s="210"/>
      <c r="B146" s="57" t="s">
        <v>304</v>
      </c>
      <c r="C146" s="62">
        <f>'Details of Measurement'!C265*6</f>
        <v>18</v>
      </c>
      <c r="D146" s="56" t="s">
        <v>84</v>
      </c>
      <c r="E146" s="135">
        <v>1200</v>
      </c>
      <c r="F146" s="211" t="str">
        <f>'Builder''s Estimate'!D146</f>
        <v>No</v>
      </c>
      <c r="G146" s="135">
        <f>C146*E146</f>
        <v>21600</v>
      </c>
      <c r="H146" s="210"/>
    </row>
    <row r="147" spans="1:8" ht="19.5" customHeight="1">
      <c r="A147" s="210"/>
      <c r="B147" s="57" t="s">
        <v>96</v>
      </c>
      <c r="C147" s="62">
        <f>C142</f>
        <v>81.99</v>
      </c>
      <c r="D147" s="56" t="s">
        <v>56</v>
      </c>
      <c r="E147" s="135">
        <v>70</v>
      </c>
      <c r="F147" s="211" t="str">
        <f>'Builder''s Estimate'!D147</f>
        <v>RFT</v>
      </c>
      <c r="G147" s="135">
        <f>C147*E147</f>
        <v>5739.2999999999993</v>
      </c>
      <c r="H147" s="210"/>
    </row>
    <row r="148" spans="1:8" ht="19.5" customHeight="1">
      <c r="A148" s="20"/>
      <c r="B148" s="57" t="s">
        <v>101</v>
      </c>
      <c r="C148" s="62">
        <f>C142*6/100</f>
        <v>4.9193999999999996</v>
      </c>
      <c r="D148" s="56" t="s">
        <v>84</v>
      </c>
      <c r="E148" s="135">
        <v>6500</v>
      </c>
      <c r="F148" s="211" t="str">
        <f>'Builder''s Estimate'!D148</f>
        <v>No</v>
      </c>
      <c r="G148" s="135">
        <f>C148*E148</f>
        <v>31976.1</v>
      </c>
      <c r="H148" s="20"/>
    </row>
    <row r="149" spans="1:8" ht="19.5" customHeight="1">
      <c r="A149" s="20"/>
      <c r="B149" s="49"/>
      <c r="C149" s="208"/>
      <c r="D149" s="40"/>
      <c r="E149" s="134"/>
      <c r="F149" s="40"/>
      <c r="G149" s="135"/>
      <c r="H149" s="20"/>
    </row>
    <row r="150" spans="1:8" ht="19.5" customHeight="1">
      <c r="A150" s="20">
        <f>'Details of Measurement'!A267</f>
        <v>21</v>
      </c>
      <c r="B150" s="49" t="str">
        <f>'Details of Measurement'!B267</f>
        <v>1½" thk; Teak Panelled Door</v>
      </c>
      <c r="C150" s="208">
        <f>'Details of Measurement'!K268</f>
        <v>84</v>
      </c>
      <c r="D150" s="209" t="str">
        <f>'Details of Measurement'!J268</f>
        <v>SFT</v>
      </c>
      <c r="E150" s="135"/>
      <c r="F150" s="20"/>
      <c r="G150" s="135"/>
      <c r="H150" s="20"/>
    </row>
    <row r="151" spans="1:8" ht="19.5" customHeight="1">
      <c r="A151" s="20"/>
      <c r="B151" s="50" t="s">
        <v>85</v>
      </c>
      <c r="C151" s="21"/>
      <c r="D151" s="210"/>
      <c r="E151" s="135"/>
      <c r="F151" s="210"/>
      <c r="G151" s="135"/>
      <c r="H151" s="20"/>
    </row>
    <row r="152" spans="1:8" ht="19.5" customHeight="1">
      <c r="A152" s="20"/>
      <c r="B152" s="57" t="s">
        <v>303</v>
      </c>
      <c r="C152" s="21">
        <f>C150*(2.4+1.32)/24.5/50</f>
        <v>0.25508571428571425</v>
      </c>
      <c r="D152" s="56" t="s">
        <v>57</v>
      </c>
      <c r="E152" s="136">
        <v>1200000</v>
      </c>
      <c r="F152" s="211" t="str">
        <f>'Builder''s Estimate'!D152</f>
        <v>Ton</v>
      </c>
      <c r="G152" s="135">
        <f t="shared" ref="G152:G158" si="4">C152*E152</f>
        <v>306102.8571428571</v>
      </c>
      <c r="H152" s="20"/>
    </row>
    <row r="153" spans="1:8" ht="19.5" customHeight="1">
      <c r="A153" s="20"/>
      <c r="B153" s="57" t="s">
        <v>305</v>
      </c>
      <c r="C153" s="21">
        <f>'Details of Measurement'!C268*8</f>
        <v>24</v>
      </c>
      <c r="D153" s="56" t="s">
        <v>84</v>
      </c>
      <c r="E153" s="135">
        <v>900</v>
      </c>
      <c r="F153" s="211" t="str">
        <f>'Builder''s Estimate'!D153</f>
        <v>No</v>
      </c>
      <c r="G153" s="135">
        <f t="shared" si="4"/>
        <v>21600</v>
      </c>
      <c r="H153" s="20"/>
    </row>
    <row r="154" spans="1:8" ht="19.5" customHeight="1">
      <c r="A154" s="20"/>
      <c r="B154" s="57" t="s">
        <v>119</v>
      </c>
      <c r="C154" s="21">
        <f>2*'Details of Measurement'!C268</f>
        <v>6</v>
      </c>
      <c r="D154" s="56" t="s">
        <v>84</v>
      </c>
      <c r="E154" s="135">
        <v>800</v>
      </c>
      <c r="F154" s="211" t="str">
        <f>'Builder''s Estimate'!D154</f>
        <v>No</v>
      </c>
      <c r="G154" s="135">
        <f t="shared" si="4"/>
        <v>4800</v>
      </c>
      <c r="H154" s="20"/>
    </row>
    <row r="155" spans="1:8" ht="19.5" customHeight="1">
      <c r="A155" s="20"/>
      <c r="B155" s="57" t="s">
        <v>306</v>
      </c>
      <c r="C155" s="21">
        <v>3</v>
      </c>
      <c r="D155" s="56" t="s">
        <v>84</v>
      </c>
      <c r="E155" s="135">
        <v>800</v>
      </c>
      <c r="F155" s="211" t="str">
        <f>'Builder''s Estimate'!D155</f>
        <v>No</v>
      </c>
      <c r="G155" s="135">
        <f t="shared" si="4"/>
        <v>2400</v>
      </c>
      <c r="H155" s="20"/>
    </row>
    <row r="156" spans="1:8" ht="19.5" customHeight="1">
      <c r="A156" s="210"/>
      <c r="B156" s="57" t="s">
        <v>325</v>
      </c>
      <c r="C156" s="21">
        <f>'Details of Measurement'!C268*4</f>
        <v>12</v>
      </c>
      <c r="D156" s="56" t="s">
        <v>84</v>
      </c>
      <c r="E156" s="135">
        <v>800</v>
      </c>
      <c r="F156" s="211" t="str">
        <f>'Builder''s Estimate'!D156</f>
        <v>No</v>
      </c>
      <c r="G156" s="135">
        <f t="shared" si="4"/>
        <v>9600</v>
      </c>
      <c r="H156" s="210"/>
    </row>
    <row r="157" spans="1:8" ht="19.5" customHeight="1">
      <c r="A157" s="223"/>
      <c r="B157" s="57" t="s">
        <v>316</v>
      </c>
      <c r="C157" s="21">
        <f>(C153+C154+C155+C156)*8/12</f>
        <v>30</v>
      </c>
      <c r="D157" s="56" t="s">
        <v>126</v>
      </c>
      <c r="E157" s="135">
        <v>250</v>
      </c>
      <c r="F157" s="222" t="str">
        <f>D157</f>
        <v>Doz</v>
      </c>
      <c r="G157" s="135">
        <f t="shared" si="4"/>
        <v>7500</v>
      </c>
      <c r="H157" s="223"/>
    </row>
    <row r="158" spans="1:8" ht="19.5" customHeight="1">
      <c r="A158" s="20"/>
      <c r="B158" s="57" t="s">
        <v>101</v>
      </c>
      <c r="C158" s="21">
        <f>C150*5/100</f>
        <v>4.2</v>
      </c>
      <c r="D158" s="56" t="s">
        <v>84</v>
      </c>
      <c r="E158" s="135">
        <v>6500</v>
      </c>
      <c r="F158" s="211" t="str">
        <f>'Builder''s Estimate'!D158</f>
        <v>No</v>
      </c>
      <c r="G158" s="135">
        <f t="shared" si="4"/>
        <v>27300</v>
      </c>
      <c r="H158" s="20"/>
    </row>
    <row r="159" spans="1:8" ht="19.5" customHeight="1">
      <c r="A159" s="20"/>
      <c r="B159" s="26"/>
      <c r="C159" s="21"/>
      <c r="D159" s="20"/>
      <c r="E159" s="135"/>
      <c r="F159" s="20"/>
      <c r="G159" s="135"/>
      <c r="H159" s="20"/>
    </row>
    <row r="160" spans="1:8" ht="19.5" customHeight="1">
      <c r="A160" s="20">
        <f>'Details of Measurement'!A270</f>
        <v>22</v>
      </c>
      <c r="B160" s="49" t="str">
        <f>'Details of Measurement'!B270</f>
        <v>UPVC Window</v>
      </c>
      <c r="C160" s="208">
        <f>'Details of Measurement'!K271</f>
        <v>429</v>
      </c>
      <c r="D160" s="40" t="str">
        <f>'Details of Measurement'!J271</f>
        <v>SFT</v>
      </c>
      <c r="E160" s="134"/>
      <c r="F160" s="40"/>
      <c r="G160" s="135"/>
      <c r="H160" s="20"/>
    </row>
    <row r="161" spans="1:12" ht="19.5" customHeight="1">
      <c r="A161" s="20"/>
      <c r="B161" s="50" t="s">
        <v>85</v>
      </c>
      <c r="C161" s="21"/>
      <c r="D161" s="20"/>
      <c r="E161" s="135"/>
      <c r="F161" s="20"/>
      <c r="G161" s="135"/>
      <c r="H161" s="20"/>
    </row>
    <row r="162" spans="1:12" ht="19.5" customHeight="1">
      <c r="A162" s="20"/>
      <c r="B162" s="51" t="s">
        <v>307</v>
      </c>
      <c r="C162" s="21">
        <f>C160</f>
        <v>429</v>
      </c>
      <c r="D162" s="211" t="s">
        <v>64</v>
      </c>
      <c r="E162" s="136">
        <v>3500</v>
      </c>
      <c r="F162" s="25" t="str">
        <f>D162</f>
        <v>SFT</v>
      </c>
      <c r="G162" s="135">
        <f>C162*E162</f>
        <v>1501500</v>
      </c>
      <c r="H162" s="20"/>
    </row>
    <row r="163" spans="1:12" ht="19.5" customHeight="1">
      <c r="A163" s="20"/>
      <c r="B163" s="51"/>
      <c r="C163" s="21"/>
      <c r="D163" s="25"/>
      <c r="E163" s="136"/>
      <c r="F163" s="25"/>
      <c r="G163" s="135"/>
      <c r="H163" s="20"/>
    </row>
    <row r="164" spans="1:12" ht="19.5" customHeight="1">
      <c r="A164" s="20">
        <f>'Details of Measurement'!A273</f>
        <v>23</v>
      </c>
      <c r="B164" s="49" t="str">
        <f>'Details of Measurement'!B273</f>
        <v>Providing 3mm thk; Glass Fanlight</v>
      </c>
      <c r="C164" s="208">
        <f>'Details of Measurement'!K274</f>
        <v>15</v>
      </c>
      <c r="D164" s="209" t="str">
        <f>'Details of Measurement'!J274</f>
        <v>SFT</v>
      </c>
      <c r="E164" s="136"/>
      <c r="F164" s="25"/>
      <c r="G164" s="135"/>
      <c r="H164" s="20"/>
    </row>
    <row r="165" spans="1:12" ht="19.5" customHeight="1">
      <c r="A165" s="20"/>
      <c r="B165" s="50" t="s">
        <v>85</v>
      </c>
      <c r="C165" s="21"/>
      <c r="D165" s="210"/>
      <c r="E165" s="135"/>
      <c r="F165" s="210"/>
      <c r="G165" s="135"/>
      <c r="H165" s="20"/>
    </row>
    <row r="166" spans="1:12" ht="19.5" customHeight="1">
      <c r="A166" s="20"/>
      <c r="B166" s="51" t="s">
        <v>308</v>
      </c>
      <c r="C166" s="21">
        <f>C164+(C164*50/100)</f>
        <v>22.5</v>
      </c>
      <c r="D166" s="211" t="s">
        <v>64</v>
      </c>
      <c r="E166" s="136">
        <v>1000</v>
      </c>
      <c r="F166" s="211" t="str">
        <f>'Builder''s Estimate'!D166</f>
        <v>SFT</v>
      </c>
      <c r="G166" s="135">
        <f>C166*E166</f>
        <v>22500</v>
      </c>
      <c r="H166" s="20"/>
    </row>
    <row r="167" spans="1:12" ht="19.5" customHeight="1">
      <c r="A167" s="210"/>
      <c r="B167" s="51" t="s">
        <v>309</v>
      </c>
      <c r="C167" s="21">
        <f>C164*0.69/9.16/50</f>
        <v>2.2598253275109167E-2</v>
      </c>
      <c r="D167" s="211" t="s">
        <v>57</v>
      </c>
      <c r="E167" s="136">
        <v>2200000</v>
      </c>
      <c r="F167" s="211" t="str">
        <f>'Builder''s Estimate'!D167</f>
        <v>Ton</v>
      </c>
      <c r="G167" s="135">
        <f>C167*E167</f>
        <v>49716.157205240168</v>
      </c>
      <c r="H167" s="210"/>
    </row>
    <row r="168" spans="1:12" ht="19.5" customHeight="1">
      <c r="A168" s="210"/>
      <c r="B168" s="51" t="s">
        <v>302</v>
      </c>
      <c r="C168" s="21">
        <f>C164*2/9.16</f>
        <v>3.2751091703056767</v>
      </c>
      <c r="D168" s="211" t="s">
        <v>84</v>
      </c>
      <c r="E168" s="136">
        <v>6500</v>
      </c>
      <c r="F168" s="211" t="str">
        <f>'Builder''s Estimate'!D168</f>
        <v>No</v>
      </c>
      <c r="G168" s="135">
        <f>C168*E168</f>
        <v>21288.2096069869</v>
      </c>
      <c r="H168" s="210"/>
    </row>
    <row r="169" spans="1:12" ht="19.5" customHeight="1">
      <c r="A169" s="20"/>
      <c r="B169" s="26"/>
      <c r="C169" s="21"/>
      <c r="D169" s="20"/>
      <c r="E169" s="135"/>
      <c r="F169" s="20"/>
      <c r="G169" s="135"/>
      <c r="H169" s="20"/>
      <c r="J169" s="14"/>
      <c r="K169" s="239"/>
      <c r="L169" s="14"/>
    </row>
    <row r="170" spans="1:12" ht="19.5" customHeight="1">
      <c r="A170" s="20">
        <f>'Details of Measurement'!A276</f>
        <v>24</v>
      </c>
      <c r="B170" s="49" t="str">
        <f>'Details of Measurement'!B276</f>
        <v>3 Coats of Plastic Emulsion Paints</v>
      </c>
      <c r="C170" s="208">
        <f>'Details of Measurement'!K278</f>
        <v>7649.1193000000003</v>
      </c>
      <c r="D170" s="40" t="str">
        <f>'Details of Measurement'!J278</f>
        <v>SFT</v>
      </c>
      <c r="E170" s="134"/>
      <c r="F170" s="40"/>
      <c r="G170" s="135"/>
      <c r="H170" s="20"/>
      <c r="J170" s="14"/>
      <c r="K170" s="232"/>
      <c r="L170" s="14"/>
    </row>
    <row r="171" spans="1:12" ht="19.5" customHeight="1">
      <c r="A171" s="20"/>
      <c r="B171" s="50" t="s">
        <v>85</v>
      </c>
      <c r="C171" s="21"/>
      <c r="D171" s="20"/>
      <c r="E171" s="135"/>
      <c r="F171" s="20"/>
      <c r="G171" s="135"/>
      <c r="H171" s="20"/>
      <c r="J171" s="14"/>
      <c r="K171" s="232"/>
      <c r="L171" s="14"/>
    </row>
    <row r="172" spans="1:12" ht="19.5" customHeight="1">
      <c r="A172" s="20"/>
      <c r="B172" s="57" t="s">
        <v>104</v>
      </c>
      <c r="C172" s="62">
        <f>((C170/10.8)*3.7/10)*0.22</f>
        <v>57.651695464814821</v>
      </c>
      <c r="D172" s="56" t="s">
        <v>124</v>
      </c>
      <c r="E172" s="137">
        <v>5500</v>
      </c>
      <c r="F172" s="56" t="str">
        <f>'Builder''s Estimate'!D172</f>
        <v>Gal</v>
      </c>
      <c r="G172" s="135">
        <f t="shared" ref="G172:G178" si="5">C172*E172</f>
        <v>317084.32505648152</v>
      </c>
      <c r="H172" s="20"/>
      <c r="J172" s="14"/>
      <c r="K172" s="232"/>
      <c r="L172" s="14"/>
    </row>
    <row r="173" spans="1:12" ht="19.5" customHeight="1">
      <c r="A173" s="217"/>
      <c r="B173" s="57" t="s">
        <v>189</v>
      </c>
      <c r="C173" s="62">
        <f>((C170/10.8)*6.4)/10</f>
        <v>453.28114370370378</v>
      </c>
      <c r="D173" s="56" t="s">
        <v>84</v>
      </c>
      <c r="E173" s="137">
        <v>200</v>
      </c>
      <c r="F173" s="56" t="str">
        <f>'Builder''s Estimate'!D173</f>
        <v>No</v>
      </c>
      <c r="G173" s="135">
        <f t="shared" si="5"/>
        <v>90656.228740740757</v>
      </c>
      <c r="H173" s="217"/>
      <c r="J173" s="14"/>
      <c r="K173" s="232"/>
      <c r="L173" s="14"/>
    </row>
    <row r="174" spans="1:12" ht="19.5" customHeight="1">
      <c r="A174" s="20"/>
      <c r="B174" s="57" t="s">
        <v>321</v>
      </c>
      <c r="C174" s="62">
        <f>((C170/10.8)*0.3)/10</f>
        <v>21.247553611111108</v>
      </c>
      <c r="D174" s="56" t="s">
        <v>84</v>
      </c>
      <c r="E174" s="137">
        <v>800</v>
      </c>
      <c r="F174" s="56" t="str">
        <f>'Builder''s Estimate'!D174</f>
        <v>No</v>
      </c>
      <c r="G174" s="135">
        <f t="shared" si="5"/>
        <v>16998.042888888885</v>
      </c>
      <c r="H174" s="20"/>
      <c r="J174" s="14"/>
      <c r="K174" s="232"/>
      <c r="L174" s="14"/>
    </row>
    <row r="175" spans="1:12" ht="19.5" customHeight="1">
      <c r="A175" s="217"/>
      <c r="B175" s="221" t="s">
        <v>322</v>
      </c>
      <c r="C175" s="62">
        <f>((C170/10.8)*4.9/10)*0.22</f>
        <v>76.349542642592596</v>
      </c>
      <c r="D175" s="47" t="s">
        <v>124</v>
      </c>
      <c r="E175" s="137">
        <v>5500</v>
      </c>
      <c r="F175" s="56" t="str">
        <f>'Builder''s Estimate'!D175</f>
        <v>Gal</v>
      </c>
      <c r="G175" s="135">
        <f t="shared" si="5"/>
        <v>419922.4845342593</v>
      </c>
      <c r="H175" s="217"/>
      <c r="J175" s="14"/>
      <c r="K175" s="232"/>
      <c r="L175" s="14"/>
    </row>
    <row r="176" spans="1:12" ht="19.5" customHeight="1">
      <c r="A176" s="238"/>
      <c r="B176" s="221" t="s">
        <v>125</v>
      </c>
      <c r="C176" s="62">
        <f>(C170/10.8)*0.3/10</f>
        <v>21.247553611111108</v>
      </c>
      <c r="D176" s="47" t="s">
        <v>84</v>
      </c>
      <c r="E176" s="137">
        <v>700</v>
      </c>
      <c r="F176" s="56" t="str">
        <f>'Builder''s Estimate'!D176</f>
        <v>No</v>
      </c>
      <c r="G176" s="135">
        <f t="shared" si="5"/>
        <v>14873.287527777777</v>
      </c>
      <c r="H176" s="238"/>
      <c r="J176" s="14"/>
      <c r="K176" s="232"/>
      <c r="L176" s="14"/>
    </row>
    <row r="177" spans="1:12" ht="19.5" customHeight="1">
      <c r="A177" s="20"/>
      <c r="B177" s="51" t="s">
        <v>105</v>
      </c>
      <c r="C177" s="62">
        <f>(C170/10.8)*1.1/10</f>
        <v>77.90769657407408</v>
      </c>
      <c r="D177" s="25" t="s">
        <v>84</v>
      </c>
      <c r="E177" s="136">
        <v>6500</v>
      </c>
      <c r="F177" s="25" t="str">
        <f>'Builder''s Estimate'!D177</f>
        <v>No</v>
      </c>
      <c r="G177" s="135">
        <f t="shared" si="5"/>
        <v>506400.02773148153</v>
      </c>
      <c r="H177" s="20"/>
      <c r="J177" s="14"/>
      <c r="K177" s="232"/>
      <c r="L177" s="14"/>
    </row>
    <row r="178" spans="1:12" ht="19.5" customHeight="1">
      <c r="A178" s="217"/>
      <c r="B178" s="51" t="s">
        <v>108</v>
      </c>
      <c r="C178" s="62">
        <f>C170/10.8*1.1/10</f>
        <v>77.90769657407408</v>
      </c>
      <c r="D178" s="215" t="s">
        <v>84</v>
      </c>
      <c r="E178" s="136">
        <v>5000</v>
      </c>
      <c r="F178" s="215" t="str">
        <f>'Builder''s Estimate'!D178</f>
        <v>No</v>
      </c>
      <c r="G178" s="135">
        <f t="shared" si="5"/>
        <v>389538.48287037038</v>
      </c>
      <c r="H178" s="217"/>
      <c r="J178" s="14"/>
      <c r="K178" s="232"/>
      <c r="L178" s="14"/>
    </row>
    <row r="179" spans="1:12" ht="19.5" customHeight="1">
      <c r="A179" s="20"/>
      <c r="B179" s="51"/>
      <c r="C179" s="21"/>
      <c r="D179" s="25"/>
      <c r="E179" s="136"/>
      <c r="F179" s="25"/>
      <c r="G179" s="135"/>
      <c r="H179" s="20"/>
      <c r="J179" s="14"/>
      <c r="K179" s="14"/>
      <c r="L179" s="14"/>
    </row>
    <row r="180" spans="1:12" ht="19.5" customHeight="1">
      <c r="A180" s="20">
        <f>'Details of Measurement'!A280</f>
        <v>25</v>
      </c>
      <c r="B180" s="49" t="str">
        <f>'Details of Measurement'!B280</f>
        <v>Painting 3 Coats to Wood Work</v>
      </c>
      <c r="C180" s="208">
        <f>'Details of Measurement'!K283</f>
        <v>379.4325</v>
      </c>
      <c r="D180" s="40" t="str">
        <f>'Details of Measurement'!J283</f>
        <v>SFT</v>
      </c>
      <c r="E180" s="134"/>
      <c r="F180" s="40"/>
      <c r="G180" s="135"/>
      <c r="H180" s="20"/>
      <c r="J180" s="14"/>
      <c r="K180" s="240"/>
      <c r="L180" s="14"/>
    </row>
    <row r="181" spans="1:12" ht="19.5" customHeight="1">
      <c r="A181" s="20"/>
      <c r="B181" s="50" t="s">
        <v>85</v>
      </c>
      <c r="C181" s="21"/>
      <c r="D181" s="20"/>
      <c r="E181" s="135"/>
      <c r="F181" s="20"/>
      <c r="G181" s="135"/>
      <c r="H181" s="20"/>
      <c r="J181" s="14"/>
      <c r="K181" s="240"/>
      <c r="L181" s="14"/>
    </row>
    <row r="182" spans="1:12" ht="19.5" customHeight="1">
      <c r="A182" s="20"/>
      <c r="B182" s="57" t="s">
        <v>103</v>
      </c>
      <c r="C182" s="62">
        <f>C180*75/1000/10.7</f>
        <v>2.6595735981308413</v>
      </c>
      <c r="D182" s="56" t="s">
        <v>124</v>
      </c>
      <c r="E182" s="137">
        <v>16000</v>
      </c>
      <c r="F182" s="56" t="str">
        <f>'Builder''s Estimate'!D182</f>
        <v>Gal</v>
      </c>
      <c r="G182" s="135">
        <f>C182*E182</f>
        <v>42553.17757009346</v>
      </c>
      <c r="H182" s="20"/>
      <c r="J182" s="14"/>
      <c r="K182" s="240"/>
      <c r="L182" s="14"/>
    </row>
    <row r="183" spans="1:12" ht="19.5" customHeight="1">
      <c r="A183" s="20"/>
      <c r="B183" s="57" t="s">
        <v>104</v>
      </c>
      <c r="C183" s="62">
        <f>C180*4/1000/10.7</f>
        <v>0.14184392523364486</v>
      </c>
      <c r="D183" s="56" t="s">
        <v>124</v>
      </c>
      <c r="E183" s="137">
        <v>5500</v>
      </c>
      <c r="F183" s="56" t="str">
        <f>'Builder''s Estimate'!D183</f>
        <v>Gal</v>
      </c>
      <c r="G183" s="135">
        <f>C183*E183</f>
        <v>780.14158878504679</v>
      </c>
      <c r="H183" s="20"/>
      <c r="J183" s="14"/>
      <c r="K183" s="240"/>
      <c r="L183" s="14"/>
    </row>
    <row r="184" spans="1:12" ht="19.5" customHeight="1">
      <c r="A184" s="20"/>
      <c r="B184" s="51" t="s">
        <v>105</v>
      </c>
      <c r="C184" s="62">
        <f>C180*12.5/1000</f>
        <v>4.7429062499999999</v>
      </c>
      <c r="D184" s="25" t="s">
        <v>84</v>
      </c>
      <c r="E184" s="136">
        <v>6500</v>
      </c>
      <c r="F184" s="25" t="str">
        <f>'Builder''s Estimate'!D184</f>
        <v>No</v>
      </c>
      <c r="G184" s="135">
        <f>C184*E184</f>
        <v>30828.890625</v>
      </c>
      <c r="H184" s="20"/>
      <c r="J184" s="14"/>
      <c r="K184" s="240"/>
      <c r="L184" s="14"/>
    </row>
    <row r="185" spans="1:12" ht="19.5" customHeight="1">
      <c r="A185" s="20"/>
      <c r="B185" s="51" t="s">
        <v>83</v>
      </c>
      <c r="C185" s="62">
        <f>C180*10/1000</f>
        <v>3.7943249999999997</v>
      </c>
      <c r="D185" s="25" t="s">
        <v>84</v>
      </c>
      <c r="E185" s="136">
        <v>5000</v>
      </c>
      <c r="F185" s="25" t="str">
        <f>'Builder''s Estimate'!D185</f>
        <v>No</v>
      </c>
      <c r="G185" s="135">
        <f>C185*E185</f>
        <v>18971.625</v>
      </c>
      <c r="H185" s="20"/>
      <c r="J185" s="14"/>
      <c r="K185" s="240"/>
      <c r="L185" s="14"/>
    </row>
    <row r="186" spans="1:12" ht="19.5" customHeight="1">
      <c r="A186" s="20"/>
      <c r="B186" s="26"/>
      <c r="C186" s="21"/>
      <c r="D186" s="20"/>
      <c r="E186" s="135"/>
      <c r="F186" s="20"/>
      <c r="G186" s="135"/>
      <c r="H186" s="20"/>
      <c r="J186" s="14"/>
      <c r="K186" s="240"/>
      <c r="L186" s="14"/>
    </row>
    <row r="187" spans="1:12" ht="19.5" customHeight="1">
      <c r="A187" s="20">
        <f>'Details of Measurement'!A285</f>
        <v>26</v>
      </c>
      <c r="B187" s="49" t="str">
        <f>'Details of Measurement'!B285</f>
        <v>Gutter Work</v>
      </c>
      <c r="C187" s="208">
        <f>'Details of Measurement'!K286</f>
        <v>187</v>
      </c>
      <c r="D187" s="40" t="str">
        <f>'Details of Measurement'!J286</f>
        <v>RFT</v>
      </c>
      <c r="E187" s="134"/>
      <c r="F187" s="40"/>
      <c r="G187" s="135"/>
      <c r="H187" s="20"/>
    </row>
    <row r="188" spans="1:12" ht="19.5" customHeight="1">
      <c r="A188" s="20"/>
      <c r="B188" s="50" t="s">
        <v>85</v>
      </c>
      <c r="C188" s="21"/>
      <c r="D188" s="20"/>
      <c r="E188" s="135"/>
      <c r="F188" s="20"/>
      <c r="G188" s="135"/>
      <c r="H188" s="20"/>
    </row>
    <row r="189" spans="1:12" ht="19.5" customHeight="1">
      <c r="A189" s="20"/>
      <c r="B189" s="57" t="s">
        <v>320</v>
      </c>
      <c r="C189" s="62">
        <f>C187+(C187*5/100)</f>
        <v>196.35</v>
      </c>
      <c r="D189" s="56" t="s">
        <v>56</v>
      </c>
      <c r="E189" s="137">
        <v>1300</v>
      </c>
      <c r="F189" s="56" t="str">
        <f>D189</f>
        <v>RFT</v>
      </c>
      <c r="G189" s="135">
        <f>C189*E189</f>
        <v>255255</v>
      </c>
      <c r="H189" s="20"/>
    </row>
    <row r="190" spans="1:12" ht="19.5" customHeight="1">
      <c r="A190" s="20"/>
      <c r="B190" s="57" t="s">
        <v>304</v>
      </c>
      <c r="C190" s="62">
        <f>C187/2</f>
        <v>93.5</v>
      </c>
      <c r="D190" s="56" t="s">
        <v>84</v>
      </c>
      <c r="E190" s="137">
        <v>1020</v>
      </c>
      <c r="F190" s="56" t="str">
        <f>D190</f>
        <v>No</v>
      </c>
      <c r="G190" s="135">
        <f>C190*E190</f>
        <v>95370</v>
      </c>
      <c r="H190" s="20"/>
    </row>
    <row r="191" spans="1:12" ht="19.5" customHeight="1">
      <c r="A191" s="20"/>
      <c r="B191" s="51" t="s">
        <v>101</v>
      </c>
      <c r="C191" s="160">
        <f>C187*1.5/100</f>
        <v>2.8050000000000002</v>
      </c>
      <c r="D191" s="25" t="s">
        <v>84</v>
      </c>
      <c r="E191" s="136">
        <v>6500</v>
      </c>
      <c r="F191" s="25" t="str">
        <f>D191</f>
        <v>No</v>
      </c>
      <c r="G191" s="135">
        <f>C191*E191</f>
        <v>18232.5</v>
      </c>
      <c r="H191" s="20"/>
    </row>
    <row r="192" spans="1:12" ht="19.5" customHeight="1">
      <c r="A192" s="217"/>
      <c r="B192" s="51" t="s">
        <v>108</v>
      </c>
      <c r="C192" s="160">
        <f>C187*2/100</f>
        <v>3.74</v>
      </c>
      <c r="D192" s="215" t="s">
        <v>84</v>
      </c>
      <c r="E192" s="136">
        <v>5000</v>
      </c>
      <c r="F192" s="215" t="str">
        <f>D192</f>
        <v>No</v>
      </c>
      <c r="G192" s="135">
        <f>C192*E192</f>
        <v>18700</v>
      </c>
      <c r="H192" s="217"/>
    </row>
    <row r="193" spans="1:8" ht="19.5" customHeight="1">
      <c r="A193" s="20"/>
      <c r="B193" s="51"/>
      <c r="C193" s="21"/>
      <c r="D193" s="25"/>
      <c r="E193" s="136"/>
      <c r="F193" s="25"/>
      <c r="G193" s="135"/>
      <c r="H193" s="20"/>
    </row>
    <row r="194" spans="1:8" ht="19.5" customHeight="1">
      <c r="A194" s="20">
        <f>'Details of Measurement'!A288</f>
        <v>27</v>
      </c>
      <c r="B194" s="49" t="str">
        <f>'Details of Measurement'!B288</f>
        <v>3"Ø 13.5mm thk;  PVC Drain Pipe</v>
      </c>
      <c r="C194" s="208">
        <f>'Details of Measurement'!K290</f>
        <v>67</v>
      </c>
      <c r="D194" s="40" t="str">
        <f>'Details of Measurement'!J290</f>
        <v>RFT</v>
      </c>
      <c r="E194" s="134"/>
      <c r="F194" s="40"/>
      <c r="G194" s="135"/>
      <c r="H194" s="20"/>
    </row>
    <row r="195" spans="1:8" ht="19.5" customHeight="1">
      <c r="A195" s="20"/>
      <c r="B195" s="50" t="s">
        <v>85</v>
      </c>
      <c r="C195" s="21"/>
      <c r="D195" s="20"/>
      <c r="E195" s="135"/>
      <c r="F195" s="20"/>
      <c r="G195" s="135"/>
      <c r="H195" s="20"/>
    </row>
    <row r="196" spans="1:8" ht="19.5" customHeight="1">
      <c r="A196" s="20"/>
      <c r="B196" s="57" t="s">
        <v>317</v>
      </c>
      <c r="C196" s="62">
        <f>C194*100/100</f>
        <v>67</v>
      </c>
      <c r="D196" s="56" t="s">
        <v>56</v>
      </c>
      <c r="E196" s="137">
        <v>650</v>
      </c>
      <c r="F196" s="56" t="str">
        <f>'Builder''s Estimate'!D196</f>
        <v>RFT</v>
      </c>
      <c r="G196" s="135">
        <f>C196*E196</f>
        <v>43550</v>
      </c>
      <c r="H196" s="20"/>
    </row>
    <row r="197" spans="1:8" ht="19.5" customHeight="1">
      <c r="A197" s="20"/>
      <c r="B197" s="57" t="s">
        <v>318</v>
      </c>
      <c r="C197" s="62">
        <f>('Details of Measurement'!C289+'Details of Measurement'!C290)*4</f>
        <v>16</v>
      </c>
      <c r="D197" s="56" t="s">
        <v>84</v>
      </c>
      <c r="E197" s="137">
        <v>700</v>
      </c>
      <c r="F197" s="56" t="str">
        <f>'Builder''s Estimate'!D197</f>
        <v>No</v>
      </c>
      <c r="G197" s="135">
        <f>C197*E197</f>
        <v>11200</v>
      </c>
      <c r="H197" s="20"/>
    </row>
    <row r="198" spans="1:8" ht="19.5" customHeight="1">
      <c r="A198" s="217"/>
      <c r="B198" s="57" t="s">
        <v>304</v>
      </c>
      <c r="C198" s="62">
        <f>C194/2</f>
        <v>33.5</v>
      </c>
      <c r="D198" s="56" t="s">
        <v>84</v>
      </c>
      <c r="E198" s="137">
        <v>150</v>
      </c>
      <c r="F198" s="56" t="str">
        <f>'Builder''s Estimate'!D198</f>
        <v>No</v>
      </c>
      <c r="G198" s="135">
        <f>C198*E198</f>
        <v>5025</v>
      </c>
      <c r="H198" s="217"/>
    </row>
    <row r="199" spans="1:8" ht="19.5" customHeight="1">
      <c r="A199" s="20"/>
      <c r="B199" s="51" t="s">
        <v>319</v>
      </c>
      <c r="C199" s="21">
        <f>C194*3/100</f>
        <v>2.0099999999999998</v>
      </c>
      <c r="D199" s="56" t="s">
        <v>84</v>
      </c>
      <c r="E199" s="136">
        <v>6500</v>
      </c>
      <c r="F199" s="25" t="str">
        <f>'Builder''s Estimate'!D199</f>
        <v>No</v>
      </c>
      <c r="G199" s="135">
        <f>C199*E199</f>
        <v>13064.999999999998</v>
      </c>
      <c r="H199" s="20"/>
    </row>
    <row r="200" spans="1:8" ht="19.5" customHeight="1">
      <c r="A200" s="217"/>
      <c r="B200" s="51" t="s">
        <v>108</v>
      </c>
      <c r="C200" s="21">
        <f>C194*3/100</f>
        <v>2.0099999999999998</v>
      </c>
      <c r="D200" s="56" t="s">
        <v>84</v>
      </c>
      <c r="E200" s="136">
        <v>5000</v>
      </c>
      <c r="F200" s="215" t="str">
        <f>'Builder''s Estimate'!D200</f>
        <v>No</v>
      </c>
      <c r="G200" s="135">
        <f>C200*E200</f>
        <v>10049.999999999998</v>
      </c>
      <c r="H200" s="217"/>
    </row>
    <row r="201" spans="1:8" ht="19.5" customHeight="1">
      <c r="A201" s="20"/>
      <c r="B201" s="26"/>
      <c r="C201" s="21"/>
      <c r="D201" s="20"/>
      <c r="E201" s="135"/>
      <c r="F201" s="20"/>
      <c r="G201" s="135"/>
      <c r="H201" s="20"/>
    </row>
    <row r="202" spans="1:8" ht="19.5" customHeight="1">
      <c r="A202" s="20">
        <f>'Details of Measurement'!A292</f>
        <v>28</v>
      </c>
      <c r="B202" s="49" t="str">
        <f>'Details of Measurement'!B292</f>
        <v>Scaffolding Work</v>
      </c>
      <c r="C202" s="208">
        <f>'Details of Measurement'!K293</f>
        <v>3328</v>
      </c>
      <c r="D202" s="40" t="str">
        <f>'Details of Measurement'!J293</f>
        <v>SFT</v>
      </c>
      <c r="E202" s="134"/>
      <c r="F202" s="40"/>
      <c r="G202" s="135"/>
      <c r="H202" s="20"/>
    </row>
    <row r="203" spans="1:8" ht="19.5" customHeight="1">
      <c r="A203" s="20"/>
      <c r="B203" s="50" t="s">
        <v>85</v>
      </c>
      <c r="C203" s="21"/>
      <c r="D203" s="20"/>
      <c r="E203" s="135"/>
      <c r="F203" s="20"/>
      <c r="G203" s="135"/>
      <c r="H203" s="20"/>
    </row>
    <row r="204" spans="1:8" ht="19.5" customHeight="1">
      <c r="A204" s="20"/>
      <c r="B204" s="57" t="s">
        <v>111</v>
      </c>
      <c r="C204" s="62">
        <f>(C202/10.8)*8.4/16</f>
        <v>161.7777777777778</v>
      </c>
      <c r="D204" s="56" t="s">
        <v>84</v>
      </c>
      <c r="E204" s="137">
        <v>800</v>
      </c>
      <c r="F204" s="56" t="str">
        <f>'Builder''s Estimate'!D204</f>
        <v>No</v>
      </c>
      <c r="G204" s="135">
        <f>C204*E204</f>
        <v>129422.22222222223</v>
      </c>
      <c r="H204" s="20"/>
    </row>
    <row r="205" spans="1:8" ht="19.5" customHeight="1">
      <c r="A205" s="210"/>
      <c r="B205" s="57" t="s">
        <v>310</v>
      </c>
      <c r="C205" s="62">
        <f>((C202/10.8)*1/16)*2.2/3.6</f>
        <v>11.769547325102881</v>
      </c>
      <c r="D205" s="56" t="s">
        <v>98</v>
      </c>
      <c r="E205" s="137">
        <v>2500</v>
      </c>
      <c r="F205" s="56" t="str">
        <f>'Builder''s Estimate'!D205</f>
        <v>Viss</v>
      </c>
      <c r="G205" s="135">
        <f>C205*E205</f>
        <v>29423.8683127572</v>
      </c>
      <c r="H205" s="210"/>
    </row>
    <row r="206" spans="1:8" ht="19.5" customHeight="1">
      <c r="A206" s="220"/>
      <c r="B206" s="57" t="s">
        <v>188</v>
      </c>
      <c r="C206" s="62">
        <f>((C202/10.8)*0.4/16*2.2)/3.6</f>
        <v>4.7078189300411522</v>
      </c>
      <c r="D206" s="56" t="s">
        <v>98</v>
      </c>
      <c r="E206" s="137">
        <v>2340</v>
      </c>
      <c r="F206" s="56" t="str">
        <f>'Builder''s Estimate'!D206</f>
        <v>Viss</v>
      </c>
      <c r="G206" s="135">
        <f>C206*E206</f>
        <v>11016.296296296296</v>
      </c>
      <c r="H206" s="220"/>
    </row>
    <row r="207" spans="1:8" ht="19.5" customHeight="1">
      <c r="A207" s="220"/>
      <c r="B207" s="57" t="s">
        <v>108</v>
      </c>
      <c r="C207" s="62">
        <f>(C202/10.8)*0.9/16</f>
        <v>17.333333333333336</v>
      </c>
      <c r="D207" s="56" t="s">
        <v>84</v>
      </c>
      <c r="E207" s="137">
        <v>5000</v>
      </c>
      <c r="F207" s="56" t="str">
        <f>'Builder''s Estimate'!D207</f>
        <v>No</v>
      </c>
      <c r="G207" s="135">
        <f>C207*E207</f>
        <v>86666.666666666672</v>
      </c>
      <c r="H207" s="220"/>
    </row>
    <row r="208" spans="1:8" ht="19.5" customHeight="1">
      <c r="A208" s="20"/>
      <c r="B208" s="51"/>
      <c r="C208" s="21"/>
      <c r="D208" s="25"/>
      <c r="E208" s="136"/>
      <c r="F208" s="25"/>
      <c r="G208" s="135"/>
      <c r="H208" s="20"/>
    </row>
    <row r="209" spans="1:12" ht="19.5" customHeight="1">
      <c r="A209" s="20">
        <f>'Details of Measurement'!A295</f>
        <v>29</v>
      </c>
      <c r="B209" s="49" t="str">
        <f>'Details of Measurement'!B295</f>
        <v>2000 Gal Water Tank (GI)</v>
      </c>
      <c r="C209" s="208">
        <f>'Details of Measurement'!K295</f>
        <v>2</v>
      </c>
      <c r="D209" s="40" t="str">
        <f>'Details of Measurement'!J295</f>
        <v>No</v>
      </c>
      <c r="E209" s="134"/>
      <c r="F209" s="40"/>
      <c r="G209" s="135"/>
      <c r="H209" s="20"/>
    </row>
    <row r="210" spans="1:12" ht="19.5" customHeight="1">
      <c r="A210" s="20"/>
      <c r="B210" s="50" t="s">
        <v>85</v>
      </c>
      <c r="C210" s="21"/>
      <c r="D210" s="20"/>
      <c r="E210" s="135"/>
      <c r="F210" s="20"/>
      <c r="G210" s="135"/>
      <c r="H210" s="20"/>
    </row>
    <row r="211" spans="1:12" ht="19.5" customHeight="1">
      <c r="A211" s="20"/>
      <c r="B211" s="57" t="s">
        <v>255</v>
      </c>
      <c r="C211" s="62">
        <v>2</v>
      </c>
      <c r="D211" s="56" t="s">
        <v>84</v>
      </c>
      <c r="E211" s="137">
        <v>95000</v>
      </c>
      <c r="F211" s="56" t="str">
        <f>D211</f>
        <v>No</v>
      </c>
      <c r="G211" s="135">
        <f>C211*E211</f>
        <v>190000</v>
      </c>
      <c r="H211" s="20"/>
    </row>
    <row r="212" spans="1:12" ht="19.5" customHeight="1">
      <c r="A212" s="20"/>
      <c r="B212" s="26"/>
      <c r="C212" s="21"/>
      <c r="D212" s="20"/>
      <c r="E212" s="135"/>
      <c r="F212" s="20"/>
      <c r="G212" s="246">
        <f>SUM(G6:G211)</f>
        <v>32238752.540761292</v>
      </c>
      <c r="H212" s="20"/>
      <c r="K212" s="241"/>
      <c r="L212" s="245"/>
    </row>
    <row r="213" spans="1:12" ht="19.5" customHeight="1">
      <c r="A213" s="20"/>
      <c r="B213" s="49"/>
      <c r="C213" s="208"/>
      <c r="D213" s="40"/>
      <c r="E213" s="134"/>
      <c r="F213" s="40"/>
      <c r="G213" s="135"/>
      <c r="H213" s="20"/>
    </row>
    <row r="214" spans="1:12" ht="19.5" customHeight="1">
      <c r="A214" s="276">
        <v>30</v>
      </c>
      <c r="B214" s="244" t="s">
        <v>49</v>
      </c>
      <c r="C214" s="275"/>
      <c r="D214" s="276"/>
      <c r="E214" s="135"/>
      <c r="F214" s="276"/>
      <c r="G214" s="135"/>
      <c r="H214" s="276"/>
    </row>
    <row r="215" spans="1:12" ht="19.5" customHeight="1" thickBot="1">
      <c r="A215" s="35"/>
      <c r="B215" s="351"/>
      <c r="C215" s="274"/>
      <c r="D215" s="271"/>
      <c r="E215" s="352"/>
      <c r="F215" s="271"/>
      <c r="G215" s="140"/>
      <c r="H215" s="35"/>
    </row>
    <row r="216" spans="1:12" ht="19.5" customHeight="1">
      <c r="B216" s="349"/>
      <c r="C216" s="273"/>
      <c r="D216" s="14"/>
      <c r="E216" s="243"/>
      <c r="F216" s="14"/>
      <c r="G216" s="243"/>
      <c r="H216" s="14"/>
    </row>
    <row r="217" spans="1:12" ht="19.5" customHeight="1">
      <c r="B217" s="269"/>
      <c r="C217" s="273"/>
      <c r="D217" s="98"/>
      <c r="E217" s="350"/>
      <c r="F217" s="98"/>
      <c r="G217" s="243"/>
      <c r="H217" s="14"/>
    </row>
    <row r="218" spans="1:12" ht="19.5" customHeight="1">
      <c r="C218" s="273"/>
      <c r="D218" s="14"/>
      <c r="E218" s="243"/>
      <c r="F218" s="14"/>
      <c r="G218" s="243"/>
      <c r="H218" s="14"/>
    </row>
    <row r="219" spans="1:12" ht="19.5" customHeight="1">
      <c r="B219" s="272"/>
      <c r="C219" s="41"/>
      <c r="D219" s="41"/>
      <c r="E219" s="348"/>
      <c r="F219" s="42"/>
      <c r="G219" s="243"/>
      <c r="H219" s="14"/>
    </row>
    <row r="220" spans="1:12" ht="19.5" customHeight="1">
      <c r="B220" s="349"/>
      <c r="C220" s="273"/>
      <c r="D220" s="14"/>
      <c r="E220" s="243"/>
      <c r="F220" s="14"/>
      <c r="G220" s="243"/>
      <c r="H220" s="14"/>
    </row>
    <row r="221" spans="1:12" ht="19.5" customHeight="1">
      <c r="B221" s="269"/>
      <c r="C221" s="273"/>
      <c r="D221" s="98"/>
      <c r="E221" s="350"/>
      <c r="F221" s="98"/>
      <c r="G221" s="243"/>
      <c r="H221" s="14"/>
    </row>
    <row r="222" spans="1:12" ht="19.5" customHeight="1">
      <c r="B222" s="269"/>
      <c r="C222" s="273"/>
      <c r="D222" s="98"/>
      <c r="E222" s="350"/>
      <c r="F222" s="98"/>
      <c r="G222" s="243"/>
      <c r="H222" s="14"/>
    </row>
    <row r="223" spans="1:12" ht="19.5" customHeight="1">
      <c r="B223" s="269"/>
      <c r="C223" s="273"/>
      <c r="D223" s="98"/>
      <c r="E223" s="350"/>
      <c r="F223" s="98"/>
      <c r="G223" s="243"/>
      <c r="H223" s="14"/>
    </row>
    <row r="224" spans="1:12" ht="19.5" customHeight="1">
      <c r="B224" s="272"/>
      <c r="C224" s="41"/>
      <c r="D224" s="42"/>
      <c r="E224" s="348"/>
      <c r="F224" s="42"/>
      <c r="G224" s="243"/>
      <c r="H224" s="14"/>
    </row>
    <row r="225" spans="2:8" ht="19.5" customHeight="1">
      <c r="B225" s="349"/>
      <c r="C225" s="273"/>
      <c r="D225" s="14"/>
      <c r="E225" s="243"/>
      <c r="F225" s="14"/>
      <c r="G225" s="243"/>
      <c r="H225" s="14"/>
    </row>
    <row r="226" spans="2:8" ht="19.5" customHeight="1">
      <c r="B226" s="269"/>
      <c r="C226" s="273"/>
      <c r="D226" s="98"/>
      <c r="E226" s="350"/>
      <c r="F226" s="98"/>
      <c r="G226" s="243"/>
      <c r="H226" s="14"/>
    </row>
    <row r="227" spans="2:8" ht="19.5" customHeight="1">
      <c r="B227" s="269"/>
      <c r="C227" s="273"/>
      <c r="D227" s="98"/>
      <c r="E227" s="350"/>
      <c r="F227" s="98"/>
      <c r="G227" s="243"/>
      <c r="H227" s="14"/>
    </row>
    <row r="228" spans="2:8" ht="19.5" customHeight="1">
      <c r="B228" s="269"/>
      <c r="C228" s="273"/>
      <c r="D228" s="98"/>
      <c r="E228" s="350"/>
      <c r="F228" s="98"/>
      <c r="G228" s="243"/>
      <c r="H228" s="14"/>
    </row>
    <row r="229" spans="2:8" ht="19.5" customHeight="1">
      <c r="B229" s="269"/>
      <c r="C229" s="273"/>
      <c r="D229" s="98"/>
      <c r="E229" s="350"/>
      <c r="F229" s="98"/>
      <c r="G229" s="243"/>
      <c r="H229" s="14"/>
    </row>
    <row r="230" spans="2:8" ht="19.5" customHeight="1">
      <c r="B230" s="269"/>
      <c r="C230" s="273"/>
      <c r="D230" s="98"/>
      <c r="E230" s="350"/>
      <c r="F230" s="98"/>
      <c r="G230" s="243"/>
      <c r="H230" s="14"/>
    </row>
    <row r="231" spans="2:8" ht="19.5" customHeight="1">
      <c r="C231" s="273"/>
      <c r="D231" s="14"/>
      <c r="E231" s="243"/>
      <c r="F231" s="14"/>
      <c r="G231" s="243"/>
      <c r="H231" s="14"/>
    </row>
    <row r="232" spans="2:8" ht="19.5" customHeight="1">
      <c r="B232" s="272"/>
      <c r="C232" s="41"/>
      <c r="D232" s="42"/>
      <c r="E232" s="348"/>
      <c r="F232" s="42"/>
      <c r="G232" s="243"/>
      <c r="H232" s="14"/>
    </row>
    <row r="233" spans="2:8" ht="19.5" customHeight="1">
      <c r="B233" s="349"/>
      <c r="C233" s="273"/>
      <c r="D233" s="14"/>
      <c r="E233" s="243"/>
      <c r="F233" s="14"/>
      <c r="G233" s="243"/>
      <c r="H233" s="14"/>
    </row>
    <row r="234" spans="2:8" ht="19.5" customHeight="1">
      <c r="B234" s="269"/>
      <c r="C234" s="273"/>
      <c r="D234" s="98"/>
      <c r="E234" s="350"/>
      <c r="F234" s="98"/>
      <c r="G234" s="243"/>
      <c r="H234" s="14"/>
    </row>
    <row r="235" spans="2:8" ht="19.5" customHeight="1">
      <c r="B235" s="269"/>
      <c r="C235" s="273"/>
      <c r="D235" s="98"/>
      <c r="E235" s="350"/>
      <c r="F235" s="98"/>
      <c r="G235" s="243"/>
      <c r="H235" s="14"/>
    </row>
    <row r="236" spans="2:8" ht="19.5" customHeight="1">
      <c r="B236" s="269"/>
      <c r="C236" s="273"/>
      <c r="D236" s="98"/>
      <c r="E236" s="350"/>
      <c r="F236" s="98"/>
      <c r="G236" s="243"/>
      <c r="H236" s="14"/>
    </row>
    <row r="237" spans="2:8" ht="19.5" customHeight="1">
      <c r="B237" s="269"/>
      <c r="C237" s="273"/>
      <c r="D237" s="98"/>
      <c r="E237" s="350"/>
      <c r="F237" s="98"/>
      <c r="G237" s="243"/>
      <c r="H237" s="14"/>
    </row>
    <row r="238" spans="2:8" ht="19.5" customHeight="1">
      <c r="B238" s="269"/>
      <c r="C238" s="273"/>
      <c r="D238" s="98"/>
      <c r="E238" s="350"/>
      <c r="F238" s="98"/>
      <c r="G238" s="243"/>
      <c r="H238" s="14"/>
    </row>
    <row r="239" spans="2:8" ht="19.5" customHeight="1">
      <c r="B239" s="269"/>
      <c r="C239" s="273"/>
      <c r="D239" s="98"/>
      <c r="E239" s="350"/>
      <c r="F239" s="98"/>
      <c r="G239" s="243"/>
      <c r="H239" s="14"/>
    </row>
    <row r="240" spans="2:8" ht="19.5" customHeight="1">
      <c r="C240" s="273"/>
      <c r="D240" s="14"/>
      <c r="E240" s="243"/>
      <c r="F240" s="14"/>
      <c r="G240" s="243"/>
      <c r="H240" s="14"/>
    </row>
    <row r="241" spans="2:8" ht="19.5" customHeight="1">
      <c r="B241" s="43"/>
      <c r="C241" s="41"/>
      <c r="D241" s="42"/>
      <c r="E241" s="348"/>
      <c r="F241" s="42"/>
      <c r="G241" s="243"/>
      <c r="H241" s="14"/>
    </row>
    <row r="242" spans="2:8" ht="19.5" customHeight="1">
      <c r="B242" s="349"/>
      <c r="C242" s="273"/>
      <c r="D242" s="14"/>
      <c r="E242" s="243"/>
      <c r="F242" s="14"/>
      <c r="G242" s="243"/>
      <c r="H242" s="14"/>
    </row>
    <row r="243" spans="2:8" ht="19.5" customHeight="1">
      <c r="B243" s="269"/>
      <c r="C243" s="273"/>
      <c r="D243" s="98"/>
      <c r="E243" s="350"/>
      <c r="F243" s="98"/>
      <c r="G243" s="243"/>
      <c r="H243" s="14"/>
    </row>
    <row r="244" spans="2:8" ht="19.5" customHeight="1">
      <c r="B244" s="269"/>
      <c r="C244" s="273"/>
      <c r="D244" s="98"/>
      <c r="E244" s="350"/>
      <c r="F244" s="98"/>
      <c r="G244" s="243"/>
      <c r="H244" s="14"/>
    </row>
    <row r="245" spans="2:8" ht="19.5" customHeight="1">
      <c r="B245" s="269"/>
      <c r="C245" s="273"/>
      <c r="D245" s="98"/>
      <c r="E245" s="350"/>
      <c r="F245" s="98"/>
      <c r="G245" s="243"/>
      <c r="H245" s="14"/>
    </row>
    <row r="246" spans="2:8" ht="19.5" customHeight="1">
      <c r="B246" s="269"/>
      <c r="C246" s="273"/>
      <c r="D246" s="98"/>
      <c r="E246" s="350"/>
      <c r="F246" s="98"/>
      <c r="G246" s="243"/>
      <c r="H246" s="14"/>
    </row>
    <row r="247" spans="2:8" ht="19.5" customHeight="1">
      <c r="B247" s="269"/>
      <c r="C247" s="273"/>
      <c r="D247" s="98"/>
      <c r="E247" s="350"/>
      <c r="F247" s="98"/>
      <c r="G247" s="243"/>
      <c r="H247" s="14"/>
    </row>
    <row r="248" spans="2:8" ht="19.5" customHeight="1">
      <c r="B248" s="272"/>
      <c r="C248" s="41"/>
      <c r="D248" s="42"/>
      <c r="E248" s="348"/>
      <c r="F248" s="42"/>
      <c r="G248" s="243"/>
      <c r="H248" s="14"/>
    </row>
    <row r="249" spans="2:8" ht="19.5" customHeight="1">
      <c r="B249" s="349"/>
      <c r="C249" s="273"/>
      <c r="D249" s="14"/>
      <c r="E249" s="243"/>
      <c r="F249" s="14"/>
      <c r="G249" s="243"/>
      <c r="H249" s="14"/>
    </row>
    <row r="250" spans="2:8" ht="19.5" customHeight="1">
      <c r="B250" s="269"/>
      <c r="C250" s="273"/>
      <c r="D250" s="98"/>
      <c r="E250" s="350"/>
      <c r="F250" s="98"/>
      <c r="G250" s="243"/>
      <c r="H250" s="14"/>
    </row>
    <row r="251" spans="2:8" ht="19.5" customHeight="1">
      <c r="B251" s="269"/>
      <c r="C251" s="273"/>
      <c r="D251" s="98"/>
      <c r="E251" s="350"/>
      <c r="F251" s="98"/>
      <c r="G251" s="243"/>
      <c r="H251" s="14"/>
    </row>
    <row r="252" spans="2:8" ht="19.5" customHeight="1">
      <c r="B252" s="269"/>
      <c r="C252" s="273"/>
      <c r="D252" s="98"/>
      <c r="E252" s="350"/>
      <c r="F252" s="98"/>
      <c r="G252" s="243"/>
      <c r="H252" s="14"/>
    </row>
    <row r="253" spans="2:8" ht="19.5" customHeight="1">
      <c r="B253" s="269"/>
      <c r="C253" s="273"/>
      <c r="D253" s="98"/>
      <c r="E253" s="350"/>
      <c r="F253" s="98"/>
      <c r="G253" s="243"/>
      <c r="H253" s="14"/>
    </row>
    <row r="254" spans="2:8" ht="19.5" customHeight="1">
      <c r="B254" s="269"/>
      <c r="C254" s="273"/>
      <c r="D254" s="98"/>
      <c r="E254" s="350"/>
      <c r="F254" s="98"/>
      <c r="G254" s="243"/>
      <c r="H254" s="14"/>
    </row>
    <row r="255" spans="2:8" ht="19.5" customHeight="1">
      <c r="G255" s="242"/>
    </row>
    <row r="256" spans="2:8" ht="19.5" customHeight="1">
      <c r="E256" s="243"/>
      <c r="F256" s="14"/>
      <c r="G256" s="243"/>
      <c r="H256" s="14"/>
    </row>
  </sheetData>
  <sheetProtection password="868A" sheet="1" formatCells="0" formatColumns="0" formatRows="0" insertColumns="0" insertRows="0" insertHyperlinks="0" deleteColumns="0" deleteRows="0" sort="0" autoFilter="0" pivotTables="0"/>
  <mergeCells count="11">
    <mergeCell ref="A3:H3"/>
    <mergeCell ref="A2:H2"/>
    <mergeCell ref="A1:H1"/>
    <mergeCell ref="C4:C5"/>
    <mergeCell ref="D4:D5"/>
    <mergeCell ref="E4:E5"/>
    <mergeCell ref="F4:F5"/>
    <mergeCell ref="G4:G5"/>
    <mergeCell ref="A4:A5"/>
    <mergeCell ref="B4:B5"/>
    <mergeCell ref="H4:H5"/>
  </mergeCells>
  <pageMargins left="0.25" right="0.25" top="0.75" bottom="0.75" header="0.3" footer="0.3"/>
  <pageSetup paperSize="9" orientation="portrait" horizontalDpi="4294967293" verticalDpi="0" r:id="rId1"/>
  <ignoredErrors>
    <ignoredError sqref="C1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L87"/>
  <sheetViews>
    <sheetView workbookViewId="0">
      <selection activeCell="J46" sqref="J46"/>
    </sheetView>
  </sheetViews>
  <sheetFormatPr defaultRowHeight="22.5" customHeight="1"/>
  <cols>
    <col min="1" max="1" width="3.42578125" style="2" customWidth="1"/>
    <col min="2" max="2" width="9.28515625" style="64" customWidth="1"/>
    <col min="3" max="3" width="6.42578125" style="3" customWidth="1"/>
    <col min="4" max="4" width="47.28515625" style="48" customWidth="1"/>
    <col min="5" max="5" width="12" style="64" customWidth="1"/>
    <col min="6" max="6" width="6.140625" style="2" customWidth="1"/>
    <col min="7" max="7" width="14" style="242" customWidth="1"/>
    <col min="8" max="8" width="9.140625" style="2"/>
    <col min="9" max="9" width="12.5703125" style="2" customWidth="1"/>
    <col min="10" max="10" width="10.7109375" style="2" customWidth="1"/>
    <col min="11" max="11" width="17.140625" style="2" customWidth="1"/>
    <col min="13" max="16384" width="9.140625" style="2"/>
  </cols>
  <sheetData>
    <row r="1" spans="1:12" ht="26.25" customHeight="1">
      <c r="A1" s="302" t="s">
        <v>327</v>
      </c>
      <c r="B1" s="302"/>
      <c r="C1" s="302"/>
      <c r="D1" s="302"/>
      <c r="E1" s="302"/>
      <c r="F1" s="302"/>
      <c r="G1" s="302"/>
      <c r="L1" s="2"/>
    </row>
    <row r="2" spans="1:12" ht="25.5" customHeight="1">
      <c r="A2" s="302" t="s">
        <v>328</v>
      </c>
      <c r="B2" s="302"/>
      <c r="C2" s="302"/>
      <c r="D2" s="302"/>
      <c r="E2" s="302"/>
      <c r="F2" s="302"/>
      <c r="G2" s="302"/>
      <c r="L2" s="2"/>
    </row>
    <row r="3" spans="1:12" ht="32.25" customHeight="1" thickBot="1">
      <c r="A3" s="308" t="s">
        <v>139</v>
      </c>
      <c r="B3" s="308"/>
      <c r="C3" s="308"/>
      <c r="D3" s="308"/>
      <c r="E3" s="308"/>
      <c r="F3" s="308"/>
      <c r="G3" s="308"/>
      <c r="L3" s="2"/>
    </row>
    <row r="4" spans="1:12" ht="22.5" customHeight="1">
      <c r="A4" s="286" t="s">
        <v>6</v>
      </c>
      <c r="B4" s="325" t="s">
        <v>79</v>
      </c>
      <c r="C4" s="291" t="s">
        <v>63</v>
      </c>
      <c r="D4" s="291" t="s">
        <v>1</v>
      </c>
      <c r="E4" s="325" t="s">
        <v>311</v>
      </c>
      <c r="F4" s="309" t="s">
        <v>80</v>
      </c>
      <c r="G4" s="323" t="s">
        <v>312</v>
      </c>
      <c r="L4" s="2"/>
    </row>
    <row r="5" spans="1:12" ht="22.5" customHeight="1" thickBot="1">
      <c r="A5" s="287"/>
      <c r="B5" s="326"/>
      <c r="C5" s="292"/>
      <c r="D5" s="292"/>
      <c r="E5" s="326"/>
      <c r="F5" s="310"/>
      <c r="G5" s="324"/>
      <c r="L5" s="2"/>
    </row>
    <row r="6" spans="1:12" ht="22.5" customHeight="1">
      <c r="A6" s="235">
        <v>1</v>
      </c>
      <c r="B6" s="65">
        <f>'Builder''s Estimate'!C6</f>
        <v>2800</v>
      </c>
      <c r="C6" s="18" t="str">
        <f>'Builder''s Estimate'!D6</f>
        <v>SFT</v>
      </c>
      <c r="D6" s="66" t="str">
        <f>'Builder''s Estimate'!$B$6</f>
        <v>Site Cleaning Work</v>
      </c>
      <c r="E6" s="65">
        <f>'Builder''s Estimate'!G8/'Builder''s Estimate'!C6</f>
        <v>25</v>
      </c>
      <c r="F6" s="67" t="str">
        <f>'Abstract of Cost'!C6</f>
        <v>SFT</v>
      </c>
      <c r="G6" s="248">
        <f t="shared" ref="G6:G15" si="0">B6*E6</f>
        <v>70000</v>
      </c>
      <c r="L6" s="2"/>
    </row>
    <row r="7" spans="1:12" ht="22.5" customHeight="1">
      <c r="A7" s="235">
        <v>2</v>
      </c>
      <c r="B7" s="68">
        <f>'Builder''s Estimate'!C10</f>
        <v>2200</v>
      </c>
      <c r="C7" s="21" t="str">
        <f>'Builder''s Estimate'!D10</f>
        <v>CFT</v>
      </c>
      <c r="D7" s="26" t="str">
        <f>'Builder''s Estimate'!$B$10</f>
        <v>Excavation for Foundation</v>
      </c>
      <c r="E7" s="237">
        <f>'Builder''s Estimate'!G12/'Builder''s Estimate'!C10</f>
        <v>100</v>
      </c>
      <c r="F7" s="236" t="str">
        <f>'Abstract of Cost'!C7</f>
        <v>CFT</v>
      </c>
      <c r="G7" s="136">
        <f t="shared" si="0"/>
        <v>220000</v>
      </c>
    </row>
    <row r="8" spans="1:12" ht="22.5" customHeight="1">
      <c r="A8" s="235">
        <v>3</v>
      </c>
      <c r="B8" s="68">
        <f>'Builder''s Estimate'!C14</f>
        <v>351.5625</v>
      </c>
      <c r="C8" s="21" t="str">
        <f>'Builder''s Estimate'!D14</f>
        <v>CFT</v>
      </c>
      <c r="D8" s="26" t="str">
        <f>'Builder''s Estimate'!$B$14</f>
        <v>Hardcore Filling Work</v>
      </c>
      <c r="E8" s="237">
        <f>('Builder''s Estimate'!G16+'Builder''s Estimate'!G17+'Builder''s Estimate'!G18)/'Builder''s Estimate'!C14</f>
        <v>575</v>
      </c>
      <c r="F8" s="236" t="str">
        <f>'Abstract of Cost'!C8</f>
        <v>CFT</v>
      </c>
      <c r="G8" s="136">
        <f t="shared" si="0"/>
        <v>202148.4375</v>
      </c>
    </row>
    <row r="9" spans="1:12" ht="22.5" customHeight="1">
      <c r="A9" s="235">
        <v>4</v>
      </c>
      <c r="B9" s="68">
        <f>'Builder''s Estimate'!C20</f>
        <v>198.4375</v>
      </c>
      <c r="C9" s="21" t="str">
        <f>'Builder''s Estimate'!D20</f>
        <v>CFT</v>
      </c>
      <c r="D9" s="26" t="str">
        <f>'Builder''s Estimate'!$B$20</f>
        <v>(1:3:6) Lean Concrete</v>
      </c>
      <c r="E9" s="237">
        <f>('Builder''s Estimate'!G22+'Builder''s Estimate'!G23+'Builder''s Estimate'!G24+'Builder''s Estimate'!G25+'Builder''s Estimate'!G26)/'Builder''s Estimate'!C20</f>
        <v>2469.8571428571431</v>
      </c>
      <c r="F9" s="236" t="str">
        <f>'Abstract of Cost'!C9</f>
        <v>CFT</v>
      </c>
      <c r="G9" s="136">
        <f t="shared" si="0"/>
        <v>490112.27678571432</v>
      </c>
    </row>
    <row r="10" spans="1:12" ht="22.5" customHeight="1">
      <c r="A10" s="235">
        <v>5</v>
      </c>
      <c r="B10" s="68">
        <f>'Builder''s Estimate'!C28</f>
        <v>863.49750000000006</v>
      </c>
      <c r="C10" s="21" t="str">
        <f>'Builder''s Estimate'!D28</f>
        <v>CFT</v>
      </c>
      <c r="D10" s="26" t="str">
        <f>'Builder''s Estimate'!$B$28</f>
        <v>Brick Work 1st Class in 1:4 Cement Mortor</v>
      </c>
      <c r="E10" s="237">
        <f>('Builder''s Estimate'!G30+'Builder''s Estimate'!G31+'Builder''s Estimate'!G32+'Builder''s Estimate'!G33+'Builder''s Estimate'!G34)/'Builder''s Estimate'!C28</f>
        <v>2468.625</v>
      </c>
      <c r="F10" s="236" t="str">
        <f>'Abstract of Cost'!C10</f>
        <v>CFT</v>
      </c>
      <c r="G10" s="136">
        <f t="shared" si="0"/>
        <v>2131651.5159375002</v>
      </c>
    </row>
    <row r="11" spans="1:12" ht="22.5" customHeight="1">
      <c r="A11" s="235">
        <v>6</v>
      </c>
      <c r="B11" s="68">
        <f>'Builder''s Estimate'!C36</f>
        <v>1875.1209000000001</v>
      </c>
      <c r="C11" s="21" t="str">
        <f>'Builder''s Estimate'!D36</f>
        <v>SFT</v>
      </c>
      <c r="D11" s="26" t="str">
        <f>'Builder''s Estimate'!$B$36</f>
        <v>4.5" Thk: Brick Wall in 1:3 Cement Mortor</v>
      </c>
      <c r="E11" s="237">
        <f>('Builder''s Estimate'!G38+'Builder''s Estimate'!G39+'Builder''s Estimate'!G40+'Builder''s Estimate'!G41+'Builder''s Estimate'!G42+'Builder''s Estimate'!G43+'Builder''s Estimate'!G44)/'Builder''s Estimate'!C36</f>
        <v>1177.8497740679963</v>
      </c>
      <c r="F11" s="236" t="str">
        <f>'Abstract of Cost'!C11</f>
        <v>SFT</v>
      </c>
      <c r="G11" s="136">
        <f t="shared" si="0"/>
        <v>2208610.7284151781</v>
      </c>
    </row>
    <row r="12" spans="1:12" ht="22.5" customHeight="1">
      <c r="A12" s="235">
        <v>7</v>
      </c>
      <c r="B12" s="68">
        <f>'Builder''s Estimate'!C46</f>
        <v>5482.5793000000003</v>
      </c>
      <c r="C12" s="21" t="str">
        <f>'Builder''s Estimate'!D46</f>
        <v>SFT</v>
      </c>
      <c r="D12" s="26" t="str">
        <f>'Builder''s Estimate'!$B$46</f>
        <v>1/2" Thk: Plastering with 1:3 Cement Mortor</v>
      </c>
      <c r="E12" s="237">
        <f>('Builder''s Estimate'!G48+'Builder''s Estimate'!G49+'Builder''s Estimate'!G50+'Builder''s Estimate'!G51)/'Builder''s Estimate'!C46</f>
        <v>283.83928571428567</v>
      </c>
      <c r="F12" s="236" t="str">
        <f>'Abstract of Cost'!C12</f>
        <v>SFT</v>
      </c>
      <c r="G12" s="136">
        <f t="shared" si="0"/>
        <v>1556171.3923839284</v>
      </c>
    </row>
    <row r="13" spans="1:12" ht="22.5" customHeight="1">
      <c r="A13" s="235">
        <v>8</v>
      </c>
      <c r="B13" s="68">
        <f>'Builder''s Estimate'!C53</f>
        <v>2636.4318750000002</v>
      </c>
      <c r="C13" s="21" t="str">
        <f>'Builder''s Estimate'!D53</f>
        <v>CFT</v>
      </c>
      <c r="D13" s="26" t="str">
        <f>'Builder''s Estimate'!B53</f>
        <v>Earth Filling Work</v>
      </c>
      <c r="E13" s="237">
        <f>'Builder''s Estimate'!G55/'Builder''s Estimate'!C53</f>
        <v>49.999964440575575</v>
      </c>
      <c r="F13" s="236" t="str">
        <f>'Abstract of Cost'!C13</f>
        <v>CFT</v>
      </c>
      <c r="G13" s="136">
        <f t="shared" si="0"/>
        <v>131821.5</v>
      </c>
    </row>
    <row r="14" spans="1:12" ht="22.5" customHeight="1">
      <c r="A14" s="235">
        <v>9</v>
      </c>
      <c r="B14" s="68">
        <f>'Builder''s Estimate'!C57</f>
        <v>1645.875</v>
      </c>
      <c r="C14" s="21" t="str">
        <f>'Builder''s Estimate'!D57</f>
        <v>CFT</v>
      </c>
      <c r="D14" s="26" t="str">
        <f>'Builder''s Estimate'!B57</f>
        <v>Sand Filling With Watering &amp; Ramming</v>
      </c>
      <c r="E14" s="237">
        <f>('Builder''s Estimate'!G59+'Builder''s Estimate'!G60)/'Builder''s Estimate'!C57</f>
        <v>1112.5</v>
      </c>
      <c r="F14" s="236" t="str">
        <f>'Abstract of Cost'!C14</f>
        <v>CFT</v>
      </c>
      <c r="G14" s="136">
        <f t="shared" si="0"/>
        <v>1831035.9375</v>
      </c>
    </row>
    <row r="15" spans="1:12" ht="22.5" customHeight="1">
      <c r="A15" s="313">
        <v>10</v>
      </c>
      <c r="B15" s="314">
        <f>'Builder''s Estimate'!C62</f>
        <v>625.4325</v>
      </c>
      <c r="C15" s="315" t="str">
        <f>'Builder''s Estimate'!D62</f>
        <v>CFT</v>
      </c>
      <c r="D15" s="317" t="str">
        <f>'Builder''s Estimate'!B62</f>
        <v>4½" thk; (1:3:6) Concrete Flooring with Water Proof Plastic Sheet</v>
      </c>
      <c r="E15" s="318">
        <f>('Builder''s Estimate'!G64+'Builder''s Estimate'!G65+'Builder''s Estimate'!G66+'Builder''s Estimate'!G67+'Builder''s Estimate'!G68)/'Builder''s Estimate'!C62</f>
        <v>2317.1785714285716</v>
      </c>
      <c r="F15" s="327" t="str">
        <f>'Abstract of Cost'!C15</f>
        <v>CFT</v>
      </c>
      <c r="G15" s="322">
        <f t="shared" si="0"/>
        <v>1449238.786875</v>
      </c>
    </row>
    <row r="16" spans="1:12" s="47" customFormat="1" ht="22.5" customHeight="1">
      <c r="A16" s="313"/>
      <c r="B16" s="314"/>
      <c r="C16" s="316"/>
      <c r="D16" s="317"/>
      <c r="E16" s="318"/>
      <c r="F16" s="327"/>
      <c r="G16" s="322"/>
      <c r="L16"/>
    </row>
    <row r="17" spans="1:12" s="47" customFormat="1" ht="22.5" customHeight="1">
      <c r="A17" s="235">
        <v>11</v>
      </c>
      <c r="B17" s="237">
        <f>'Builder''s Estimate'!C70</f>
        <v>1763.4</v>
      </c>
      <c r="C17" s="21" t="str">
        <f>'Builder''s Estimate'!D70</f>
        <v>SFT</v>
      </c>
      <c r="D17" s="26" t="str">
        <f>'Builder''s Estimate'!B70</f>
        <v>1½" thk; (1:2:4) Concrete Floor Topping</v>
      </c>
      <c r="E17" s="237">
        <f>('Builder''s Estimate'!G72+'Builder''s Estimate'!G73+'Builder''s Estimate'!G74+'Builder''s Estimate'!G75+'Builder''s Estimate'!G76)/'Builder''s Estimate'!C70</f>
        <v>407.9375</v>
      </c>
      <c r="F17" s="236" t="str">
        <f>'Abstract of Cost'!C17</f>
        <v>SFT</v>
      </c>
      <c r="G17" s="136">
        <f t="shared" ref="G17:G35" si="1">B17*E17</f>
        <v>719356.98750000005</v>
      </c>
      <c r="L17"/>
    </row>
    <row r="18" spans="1:12" ht="22.5" customHeight="1">
      <c r="A18" s="235">
        <v>12</v>
      </c>
      <c r="B18" s="68">
        <f>'Builder''s Estimate'!C78</f>
        <v>894.26812499999994</v>
      </c>
      <c r="C18" s="21" t="str">
        <f>'Builder''s Estimate'!D78</f>
        <v>CFT</v>
      </c>
      <c r="D18" s="26" t="str">
        <f>'Builder''s Estimate'!B78</f>
        <v>(1:2:4) RC Concrete Work</v>
      </c>
      <c r="E18" s="237">
        <f>('Builder''s Estimate'!G80+'Builder''s Estimate'!G81+'Builder''s Estimate'!G82+'Builder''s Estimate'!G83+'Builder''s Estimate'!G84)/'Builder''s Estimate'!C78</f>
        <v>3152.4821428571431</v>
      </c>
      <c r="F18" s="236" t="str">
        <f>'Abstract of Cost'!C18</f>
        <v>CFT</v>
      </c>
      <c r="G18" s="136">
        <f t="shared" si="1"/>
        <v>2819164.2949888394</v>
      </c>
    </row>
    <row r="19" spans="1:12" ht="22.5" customHeight="1">
      <c r="A19" s="235">
        <v>13</v>
      </c>
      <c r="B19" s="68">
        <v>1</v>
      </c>
      <c r="C19" s="236" t="s">
        <v>6</v>
      </c>
      <c r="D19" s="57" t="str">
        <f>'Builder''s Estimate'!B86</f>
        <v>Mild Steel Work</v>
      </c>
      <c r="E19" s="237">
        <f>('Builder''s Estimate'!G88+'Builder''s Estimate'!G89+'Builder''s Estimate'!G90+'Builder''s Estimate'!G91+'Builder''s Estimate'!G92+'Builder''s Estimate'!G93+'Builder''s Estimate'!G94)</f>
        <v>4014956.3742423831</v>
      </c>
      <c r="F19" s="236" t="str">
        <f>'Abstract of Cost'!C19</f>
        <v>Item</v>
      </c>
      <c r="G19" s="136">
        <f t="shared" si="1"/>
        <v>4014956.3742423831</v>
      </c>
      <c r="I19"/>
    </row>
    <row r="20" spans="1:12" ht="22.5" customHeight="1">
      <c r="A20" s="235">
        <v>14</v>
      </c>
      <c r="B20" s="68">
        <f>'Builder''s Estimate'!C96</f>
        <v>2823.3050000000003</v>
      </c>
      <c r="C20" s="21" t="str">
        <f>'Builder''s Estimate'!D96</f>
        <v>SFT</v>
      </c>
      <c r="D20" s="26" t="str">
        <f>'Builder''s Estimate'!B96</f>
        <v>Formwork</v>
      </c>
      <c r="E20" s="237">
        <f>('Builder''s Estimate'!G98+'Builder''s Estimate'!G99+'Builder''s Estimate'!G100+'Builder''s Estimate'!G101+'Builder''s Estimate'!G102)/'Builder''s Estimate'!C96</f>
        <v>1231.1666666666665</v>
      </c>
      <c r="F20" s="236" t="str">
        <f>'Abstract of Cost'!C20</f>
        <v>SFT</v>
      </c>
      <c r="G20" s="136">
        <f t="shared" si="1"/>
        <v>3475959.0058333334</v>
      </c>
      <c r="I20" s="41"/>
      <c r="J20" s="42"/>
      <c r="K20" s="43"/>
    </row>
    <row r="21" spans="1:12" ht="22.5" customHeight="1">
      <c r="A21" s="235">
        <v>15</v>
      </c>
      <c r="B21" s="68">
        <v>1</v>
      </c>
      <c r="C21" s="236" t="s">
        <v>6</v>
      </c>
      <c r="D21" s="26" t="str">
        <f>'Builder''s Estimate'!B104</f>
        <v>Steel Structure Roofing Work</v>
      </c>
      <c r="E21" s="237">
        <f>('Builder''s Estimate'!G106+'Builder''s Estimate'!G107+'Builder''s Estimate'!G108+'Builder''s Estimate'!G109+'Builder''s Estimate'!G110+'Builder''s Estimate'!G111)</f>
        <v>1791299.095</v>
      </c>
      <c r="F21" s="236" t="str">
        <f>'Abstract of Cost'!C21</f>
        <v>Item</v>
      </c>
      <c r="G21" s="136">
        <f t="shared" si="1"/>
        <v>1791299.095</v>
      </c>
    </row>
    <row r="22" spans="1:12" ht="22.5" customHeight="1">
      <c r="A22" s="235">
        <v>16</v>
      </c>
      <c r="B22" s="68">
        <f>'Builder''s Estimate'!C113</f>
        <v>2423.3173124999998</v>
      </c>
      <c r="C22" s="21" t="str">
        <f>'Builder''s Estimate'!D113</f>
        <v>SFT</v>
      </c>
      <c r="D22" s="26" t="str">
        <f>'Builder''s Estimate'!B113</f>
        <v>4 angle Colour Sheet Roofing (0.4mm thk:)</v>
      </c>
      <c r="E22" s="237">
        <f>('Builder''s Estimate'!G115+'Builder''s Estimate'!G116+'Builder''s Estimate'!G117+'Builder''s Estimate'!G118)/'Builder''s Estimate'!C113</f>
        <v>274.7</v>
      </c>
      <c r="F22" s="236" t="str">
        <f>'Abstract of Cost'!C22</f>
        <v>SFT</v>
      </c>
      <c r="G22" s="136">
        <f t="shared" si="1"/>
        <v>665685.26574374991</v>
      </c>
    </row>
    <row r="23" spans="1:12" ht="22.5" customHeight="1">
      <c r="A23" s="235">
        <v>17</v>
      </c>
      <c r="B23" s="68">
        <f>'Builder''s Estimate'!C120</f>
        <v>123.6</v>
      </c>
      <c r="C23" s="21" t="str">
        <f>'Builder''s Estimate'!D120</f>
        <v>RFT</v>
      </c>
      <c r="D23" s="26" t="str">
        <f>'Builder''s Estimate'!B120</f>
        <v>Colour Sheet Ridge Covering (0.4mm thk:)</v>
      </c>
      <c r="E23" s="237">
        <f>('Builder''s Estimate'!G122+'Builder''s Estimate'!G123+'Builder''s Estimate'!G124)/'Builder''s Estimate'!C120</f>
        <v>1030.45</v>
      </c>
      <c r="F23" s="236" t="str">
        <f>'Abstract of Cost'!C23</f>
        <v>RFT</v>
      </c>
      <c r="G23" s="136">
        <f t="shared" si="1"/>
        <v>127363.62</v>
      </c>
    </row>
    <row r="24" spans="1:12" ht="22.5" customHeight="1">
      <c r="A24" s="235">
        <v>18</v>
      </c>
      <c r="B24" s="68">
        <f>'Builder''s Estimate'!C126</f>
        <v>199.92</v>
      </c>
      <c r="C24" s="21" t="str">
        <f>'Builder''s Estimate'!D126</f>
        <v>RFT</v>
      </c>
      <c r="D24" s="26" t="str">
        <f>'Builder''s Estimate'!B126</f>
        <v>8"x1" Eave &amp; Verge Board (PKD)</v>
      </c>
      <c r="E24" s="237">
        <f>('Builder''s Estimate'!G128+'Builder''s Estimate'!G129+'Builder''s Estimate'!G130)/'Builder''s Estimate'!C126</f>
        <v>1744.0000000000002</v>
      </c>
      <c r="F24" s="236" t="str">
        <f>'Abstract of Cost'!C24</f>
        <v>RFT</v>
      </c>
      <c r="G24" s="136">
        <f t="shared" si="1"/>
        <v>348660.48000000004</v>
      </c>
    </row>
    <row r="25" spans="1:12" ht="22.5" customHeight="1">
      <c r="A25" s="235">
        <v>19</v>
      </c>
      <c r="B25" s="68">
        <f>'Builder''s Estimate'!C132</f>
        <v>2166.54</v>
      </c>
      <c r="C25" s="21" t="str">
        <f>'Builder''s Estimate'!D132</f>
        <v>SFT</v>
      </c>
      <c r="D25" s="26" t="str">
        <f>'Builder''s Estimate'!B132</f>
        <v>Cement Board Ceiling With C-Channel Frame</v>
      </c>
      <c r="E25" s="237">
        <f>('Builder''s Estimate'!G134+'Builder''s Estimate'!G135+'Builder''s Estimate'!G136+'Builder''s Estimate'!G137+'Builder''s Estimate'!G138+'Builder''s Estimate'!G139+'Builder''s Estimate'!G140)/'Builder''s Estimate'!C132</f>
        <v>1397.5390625</v>
      </c>
      <c r="F25" s="236" t="str">
        <f>'Abstract of Cost'!C25</f>
        <v>SFT</v>
      </c>
      <c r="G25" s="136">
        <f t="shared" si="1"/>
        <v>3027824.2804687498</v>
      </c>
    </row>
    <row r="26" spans="1:12" ht="22.5" customHeight="1">
      <c r="A26" s="235">
        <v>20</v>
      </c>
      <c r="B26" s="68">
        <f>'Builder''s Estimate'!C142</f>
        <v>81.99</v>
      </c>
      <c r="C26" s="21" t="str">
        <f>'Builder''s Estimate'!D142</f>
        <v>RFT</v>
      </c>
      <c r="D26" s="26" t="str">
        <f>'Builder''s Estimate'!B142</f>
        <v>5"x2" PKD Chowket Work</v>
      </c>
      <c r="E26" s="237">
        <f>('Builder''s Estimate'!G144+'Builder''s Estimate'!G145+'Builder''s Estimate'!G146+'Builder''s Estimate'!G147+'Builder''s Estimate'!G148)/'Builder''s Estimate'!C142</f>
        <v>2656.4467618002195</v>
      </c>
      <c r="F26" s="236" t="str">
        <f>'Abstract of Cost'!C26</f>
        <v>RFT</v>
      </c>
      <c r="G26" s="136">
        <f t="shared" si="1"/>
        <v>217802.06999999998</v>
      </c>
    </row>
    <row r="27" spans="1:12" ht="22.5" customHeight="1">
      <c r="A27" s="235">
        <v>21</v>
      </c>
      <c r="B27" s="68">
        <f>'Builder''s Estimate'!C150</f>
        <v>84</v>
      </c>
      <c r="C27" s="21" t="str">
        <f>'Builder''s Estimate'!D150</f>
        <v>SFT</v>
      </c>
      <c r="D27" s="26" t="str">
        <f>'Builder''s Estimate'!B150</f>
        <v>1½" thk; Teak Panelled Door</v>
      </c>
      <c r="E27" s="237">
        <f>('Builder''s Estimate'!G152+'Builder''s Estimate'!G153+'Builder''s Estimate'!G154+'Builder''s Estimate'!G155+'Builder''s Estimate'!G156+'Builder''s Estimate'!G157+'Builder''s Estimate'!G158)/'Builder''s Estimate'!C150</f>
        <v>4515.5102040816319</v>
      </c>
      <c r="F27" s="236" t="str">
        <f>'Abstract of Cost'!C27</f>
        <v>SFT</v>
      </c>
      <c r="G27" s="136">
        <f t="shared" si="1"/>
        <v>379302.8571428571</v>
      </c>
    </row>
    <row r="28" spans="1:12" ht="22.5" customHeight="1">
      <c r="A28" s="235">
        <v>22</v>
      </c>
      <c r="B28" s="68">
        <f>'Builder''s Estimate'!C160</f>
        <v>429</v>
      </c>
      <c r="C28" s="21" t="str">
        <f>'Builder''s Estimate'!D160</f>
        <v>SFT</v>
      </c>
      <c r="D28" s="26" t="str">
        <f>'Builder''s Estimate'!B160</f>
        <v>UPVC Window</v>
      </c>
      <c r="E28" s="237">
        <f>'Builder''s Estimate'!G162/'Builder''s Estimate'!C160</f>
        <v>3500</v>
      </c>
      <c r="F28" s="236" t="str">
        <f>'Abstract of Cost'!C28</f>
        <v>SFT</v>
      </c>
      <c r="G28" s="136">
        <f t="shared" si="1"/>
        <v>1501500</v>
      </c>
    </row>
    <row r="29" spans="1:12" ht="22.5" customHeight="1">
      <c r="A29" s="235">
        <v>23</v>
      </c>
      <c r="B29" s="68">
        <f>'Builder''s Estimate'!C164</f>
        <v>15</v>
      </c>
      <c r="C29" s="21" t="str">
        <f>'Builder''s Estimate'!D164</f>
        <v>SFT</v>
      </c>
      <c r="D29" s="26" t="str">
        <f>'Builder''s Estimate'!B164</f>
        <v>Providing 3mm thk; Glass Fanlight</v>
      </c>
      <c r="E29" s="237">
        <f>('Builder''s Estimate'!G166+'Builder''s Estimate'!G167+'Builder''s Estimate'!G168)/'Builder''s Estimate'!C164</f>
        <v>6233.6244541484712</v>
      </c>
      <c r="F29" s="236" t="str">
        <f>'Abstract of Cost'!C29</f>
        <v>SFT</v>
      </c>
      <c r="G29" s="136">
        <f t="shared" si="1"/>
        <v>93504.366812227061</v>
      </c>
    </row>
    <row r="30" spans="1:12" ht="22.5" customHeight="1">
      <c r="A30" s="235">
        <v>24</v>
      </c>
      <c r="B30" s="68">
        <f>'Builder''s Estimate'!C170</f>
        <v>7649.1193000000003</v>
      </c>
      <c r="C30" s="21" t="str">
        <f>'Builder''s Estimate'!D170</f>
        <v>SFT</v>
      </c>
      <c r="D30" s="26" t="str">
        <f>'Builder''s Estimate'!B170</f>
        <v>3 Coats of Plastic Emulsion Paints</v>
      </c>
      <c r="E30" s="237">
        <f>('Builder''s Estimate'!G172+'Builder''s Estimate'!G173+'Builder''s Estimate'!G174+'Builder''s Estimate'!G175+'Builder''s Estimate'!G176+'Builder''s Estimate'!G177+'Builder''s Estimate'!G178)/'Builder''s Estimate'!C170</f>
        <v>229.5</v>
      </c>
      <c r="F30" s="236" t="str">
        <f>'Abstract of Cost'!C30</f>
        <v>SFT</v>
      </c>
      <c r="G30" s="136">
        <f t="shared" si="1"/>
        <v>1755472.8793500001</v>
      </c>
    </row>
    <row r="31" spans="1:12" ht="22.5" customHeight="1">
      <c r="A31" s="235">
        <v>25</v>
      </c>
      <c r="B31" s="68">
        <f>'Builder''s Estimate'!C180</f>
        <v>379.4325</v>
      </c>
      <c r="C31" s="21" t="str">
        <f>'Builder''s Estimate'!D180</f>
        <v>SFT</v>
      </c>
      <c r="D31" s="26" t="str">
        <f>'Builder''s Estimate'!B180</f>
        <v>Painting 3 Coats to Wood Work</v>
      </c>
      <c r="E31" s="237">
        <f>('Builder''s Estimate'!G182+'Builder''s Estimate'!G183+'Builder''s Estimate'!G184+'Builder''s Estimate'!G185)/'Builder''s Estimate'!C180</f>
        <v>245.45560747663549</v>
      </c>
      <c r="F31" s="236" t="str">
        <f>'Abstract of Cost'!C31</f>
        <v>SFT</v>
      </c>
      <c r="G31" s="136">
        <f t="shared" si="1"/>
        <v>93133.834783878498</v>
      </c>
    </row>
    <row r="32" spans="1:12" ht="22.5" customHeight="1">
      <c r="A32" s="235">
        <v>26</v>
      </c>
      <c r="B32" s="68">
        <f>'Builder''s Estimate'!C187</f>
        <v>187</v>
      </c>
      <c r="C32" s="21" t="str">
        <f>'Builder''s Estimate'!D187</f>
        <v>RFT</v>
      </c>
      <c r="D32" s="26" t="str">
        <f>'Builder''s Estimate'!B187</f>
        <v>Gutter Work</v>
      </c>
      <c r="E32" s="237">
        <f>('Builder''s Estimate'!G189+'Builder''s Estimate'!G190+'Builder''s Estimate'!G191+'Builder''s Estimate'!G192)/'Builder''s Estimate'!C187</f>
        <v>2072.5</v>
      </c>
      <c r="F32" s="236" t="str">
        <f>'Abstract of Cost'!C32</f>
        <v>RFT</v>
      </c>
      <c r="G32" s="136">
        <f t="shared" si="1"/>
        <v>387557.5</v>
      </c>
    </row>
    <row r="33" spans="1:12" ht="22.5" customHeight="1">
      <c r="A33" s="235">
        <v>27</v>
      </c>
      <c r="B33" s="68">
        <f>'Builder''s Estimate'!C194</f>
        <v>67</v>
      </c>
      <c r="C33" s="21" t="str">
        <f>'Builder''s Estimate'!D194</f>
        <v>RFT</v>
      </c>
      <c r="D33" s="26" t="str">
        <f>'Builder''s Estimate'!B194</f>
        <v>3"Ø 13.5mm thk;  PVC Drain Pipe</v>
      </c>
      <c r="E33" s="237">
        <f>('Builder''s Estimate'!G196+'Builder''s Estimate'!G197+'Builder''s Estimate'!G198+'Builder''s Estimate'!G199+'Builder''s Estimate'!G200)/'Builder''s Estimate'!C194</f>
        <v>1237.1641791044776</v>
      </c>
      <c r="F33" s="236" t="str">
        <f>'Abstract of Cost'!C33</f>
        <v>RFT</v>
      </c>
      <c r="G33" s="136">
        <f t="shared" si="1"/>
        <v>82890</v>
      </c>
    </row>
    <row r="34" spans="1:12" s="47" customFormat="1" ht="22.5" customHeight="1">
      <c r="A34" s="235">
        <v>28</v>
      </c>
      <c r="B34" s="237">
        <f>'Builder''s Estimate'!C202</f>
        <v>3328</v>
      </c>
      <c r="C34" s="21" t="str">
        <f>'Builder''s Estimate'!D202</f>
        <v>SFT</v>
      </c>
      <c r="D34" s="26" t="str">
        <f>'Builder''s Estimate'!B202</f>
        <v>Scaffolding Work</v>
      </c>
      <c r="E34" s="237">
        <f>('Builder''s Estimate'!G204+'Builder''s Estimate'!G205+'Builder''s Estimate'!G206+'Builder''s Estimate'!G207)/'Builder''s Estimate'!C202</f>
        <v>77.082047325102877</v>
      </c>
      <c r="F34" s="236" t="str">
        <f>'Abstract of Cost'!C34</f>
        <v>SFT</v>
      </c>
      <c r="G34" s="136">
        <f t="shared" si="1"/>
        <v>256529.05349794237</v>
      </c>
      <c r="L34"/>
    </row>
    <row r="35" spans="1:12" s="47" customFormat="1" ht="22.5" customHeight="1">
      <c r="A35" s="235">
        <v>29</v>
      </c>
      <c r="B35" s="237">
        <f>'Builder''s Estimate'!C209</f>
        <v>2</v>
      </c>
      <c r="C35" s="21" t="str">
        <f>'Builder''s Estimate'!D209</f>
        <v>No</v>
      </c>
      <c r="D35" s="26" t="str">
        <f>'Builder''s Estimate'!B209</f>
        <v>2000 Gal Water Tank (GI)</v>
      </c>
      <c r="E35" s="237">
        <f>'Builder''s Estimate'!G211/'Builder''s Estimate'!C209</f>
        <v>95000</v>
      </c>
      <c r="F35" s="236" t="str">
        <f>'Abstract of Cost'!C35</f>
        <v>No</v>
      </c>
      <c r="G35" s="136">
        <f t="shared" si="1"/>
        <v>190000</v>
      </c>
      <c r="L35"/>
    </row>
    <row r="36" spans="1:12" s="47" customFormat="1" ht="22.5" customHeight="1" thickBot="1">
      <c r="A36" s="235"/>
      <c r="B36" s="237"/>
      <c r="C36" s="238"/>
      <c r="D36" s="26"/>
      <c r="E36" s="237"/>
      <c r="F36" s="236"/>
      <c r="G36" s="145"/>
      <c r="L36"/>
    </row>
    <row r="37" spans="1:12" ht="22.5" customHeight="1">
      <c r="A37" s="319" t="s">
        <v>140</v>
      </c>
      <c r="B37" s="320"/>
      <c r="C37" s="320"/>
      <c r="D37" s="320"/>
      <c r="E37" s="320"/>
      <c r="F37" s="320"/>
      <c r="G37" s="328">
        <f>SUM(G6:G36)</f>
        <v>32238752.540761288</v>
      </c>
    </row>
    <row r="38" spans="1:12" ht="22.5" customHeight="1" thickBot="1">
      <c r="A38" s="321"/>
      <c r="B38" s="301"/>
      <c r="C38" s="301"/>
      <c r="D38" s="301"/>
      <c r="E38" s="301"/>
      <c r="F38" s="301"/>
      <c r="G38" s="329"/>
    </row>
    <row r="39" spans="1:12" ht="22.5" customHeight="1">
      <c r="B39" s="2"/>
      <c r="C39" s="2"/>
      <c r="D39" s="2"/>
      <c r="E39" s="247"/>
      <c r="G39" s="2"/>
    </row>
    <row r="40" spans="1:12" ht="22.5" customHeight="1">
      <c r="B40" s="2"/>
      <c r="C40" s="2"/>
      <c r="D40" s="2"/>
      <c r="E40" s="247"/>
      <c r="G40" s="2"/>
    </row>
    <row r="41" spans="1:12" ht="22.5" customHeight="1">
      <c r="B41" s="2"/>
      <c r="C41" s="2"/>
      <c r="D41" s="2"/>
      <c r="E41" s="247"/>
      <c r="G41" s="2"/>
    </row>
    <row r="42" spans="1:12" ht="22.5" customHeight="1">
      <c r="B42" s="2"/>
      <c r="C42" s="2"/>
      <c r="D42" s="2"/>
      <c r="E42" s="247"/>
      <c r="G42" s="2"/>
    </row>
    <row r="43" spans="1:12" ht="22.5" customHeight="1">
      <c r="B43" s="2"/>
      <c r="C43" s="2"/>
      <c r="D43" s="2"/>
      <c r="E43" s="247"/>
      <c r="G43" s="2"/>
    </row>
    <row r="44" spans="1:12" ht="22.5" customHeight="1">
      <c r="A44" s="353"/>
      <c r="B44" s="353"/>
      <c r="C44" s="353"/>
      <c r="D44" s="353"/>
      <c r="E44" s="353"/>
      <c r="F44" s="353"/>
      <c r="G44" s="354"/>
    </row>
    <row r="45" spans="1:12" ht="22.5" customHeight="1">
      <c r="A45" s="353"/>
      <c r="B45" s="353"/>
      <c r="C45" s="353"/>
      <c r="D45" s="353"/>
      <c r="E45" s="353"/>
      <c r="F45" s="353"/>
      <c r="G45" s="354"/>
    </row>
    <row r="46" spans="1:12" ht="22.5" customHeight="1">
      <c r="A46" s="353"/>
      <c r="B46" s="353"/>
      <c r="C46" s="353"/>
      <c r="D46" s="353"/>
      <c r="E46" s="353"/>
      <c r="F46" s="353"/>
      <c r="G46" s="354"/>
    </row>
    <row r="81" spans="1:7" ht="22.5" customHeight="1">
      <c r="A81" s="25">
        <f>'Builder''s Estimate'!A214</f>
        <v>30</v>
      </c>
      <c r="B81" s="68"/>
      <c r="C81" s="61"/>
      <c r="D81" s="26" t="str">
        <f>'Builder''s Estimate'!B214</f>
        <v>Apron &amp; Drain</v>
      </c>
      <c r="E81" s="237"/>
      <c r="F81" s="52">
        <f>'Abstract of Cost'!C81</f>
        <v>0</v>
      </c>
      <c r="G81" s="136"/>
    </row>
    <row r="82" spans="1:7" ht="22.5" customHeight="1">
      <c r="A82" s="25">
        <f>'Builder''s Estimate'!A215</f>
        <v>0</v>
      </c>
      <c r="B82" s="68">
        <f>'Builder''s Estimate'!C215</f>
        <v>0</v>
      </c>
      <c r="C82" s="61">
        <f>'Builder''s Estimate'!D215</f>
        <v>0</v>
      </c>
      <c r="D82" s="26">
        <f>'Builder''s Estimate'!B215</f>
        <v>0</v>
      </c>
      <c r="E82" s="237"/>
      <c r="F82" s="52">
        <f>'Abstract of Cost'!C82</f>
        <v>0</v>
      </c>
      <c r="G82" s="136"/>
    </row>
    <row r="83" spans="1:7" ht="22.5" customHeight="1">
      <c r="A83" s="25">
        <f>'Builder''s Estimate'!A219</f>
        <v>0</v>
      </c>
      <c r="B83" s="68">
        <f>'Builder''s Estimate'!C219</f>
        <v>0</v>
      </c>
      <c r="C83" s="61">
        <f>'Builder''s Estimate'!D219</f>
        <v>0</v>
      </c>
      <c r="D83" s="26">
        <f>'Builder''s Estimate'!B219</f>
        <v>0</v>
      </c>
      <c r="E83" s="237"/>
      <c r="F83" s="52">
        <f>'Abstract of Cost'!C83</f>
        <v>0</v>
      </c>
      <c r="G83" s="136"/>
    </row>
    <row r="84" spans="1:7" ht="22.5" customHeight="1">
      <c r="A84" s="25">
        <f>'Builder''s Estimate'!A224</f>
        <v>0</v>
      </c>
      <c r="B84" s="68">
        <f>'Builder''s Estimate'!C224</f>
        <v>0</v>
      </c>
      <c r="C84" s="61">
        <f>'Builder''s Estimate'!D224</f>
        <v>0</v>
      </c>
      <c r="D84" s="26">
        <f>'Builder''s Estimate'!B224</f>
        <v>0</v>
      </c>
      <c r="E84" s="237"/>
      <c r="F84" s="52">
        <f>'Abstract of Cost'!C84</f>
        <v>0</v>
      </c>
      <c r="G84" s="136"/>
    </row>
    <row r="85" spans="1:7" ht="22.5" customHeight="1">
      <c r="A85" s="25">
        <f>'Builder''s Estimate'!A232</f>
        <v>0</v>
      </c>
      <c r="B85" s="68">
        <f>'Builder''s Estimate'!C232</f>
        <v>0</v>
      </c>
      <c r="C85" s="61">
        <f>'Builder''s Estimate'!D232</f>
        <v>0</v>
      </c>
      <c r="D85" s="26">
        <f>'Builder''s Estimate'!B232</f>
        <v>0</v>
      </c>
      <c r="E85" s="237"/>
      <c r="F85" s="52">
        <f>'Abstract of Cost'!C85</f>
        <v>0</v>
      </c>
      <c r="G85" s="136"/>
    </row>
    <row r="86" spans="1:7" ht="22.5" customHeight="1">
      <c r="A86" s="25">
        <f>'Builder''s Estimate'!A241</f>
        <v>0</v>
      </c>
      <c r="B86" s="68">
        <f>'Builder''s Estimate'!C241</f>
        <v>0</v>
      </c>
      <c r="C86" s="61">
        <f>'Builder''s Estimate'!D241</f>
        <v>0</v>
      </c>
      <c r="D86" s="26">
        <f>'Builder''s Estimate'!B241</f>
        <v>0</v>
      </c>
      <c r="E86" s="237"/>
      <c r="F86" s="52">
        <f>'Abstract of Cost'!C86</f>
        <v>0</v>
      </c>
      <c r="G86" s="136"/>
    </row>
    <row r="87" spans="1:7" ht="22.5" customHeight="1" thickBot="1">
      <c r="A87" s="63">
        <f>'Builder''s Estimate'!A248</f>
        <v>0</v>
      </c>
      <c r="B87" s="69">
        <f>'Builder''s Estimate'!C248</f>
        <v>0</v>
      </c>
      <c r="C87" s="35">
        <f>'Builder''s Estimate'!D248</f>
        <v>0</v>
      </c>
      <c r="D87" s="70">
        <f>'Builder''s Estimate'!B248</f>
        <v>0</v>
      </c>
      <c r="E87" s="69"/>
      <c r="F87" s="71">
        <f>'Abstract of Cost'!C87</f>
        <v>0</v>
      </c>
      <c r="G87" s="138"/>
    </row>
  </sheetData>
  <sheetProtection password="868A" sheet="1" formatCells="0" formatColumns="0" formatRows="0" insertColumns="0" insertRows="0" insertHyperlinks="0" deleteColumns="0" deleteRows="0" sort="0" autoFilter="0" pivotTables="0"/>
  <mergeCells count="19">
    <mergeCell ref="G4:G5"/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F15:F16"/>
    <mergeCell ref="G15:G16"/>
    <mergeCell ref="G37:G38"/>
    <mergeCell ref="A37:F38"/>
    <mergeCell ref="A15:A16"/>
    <mergeCell ref="B15:B16"/>
    <mergeCell ref="C15:C16"/>
    <mergeCell ref="D15:D16"/>
    <mergeCell ref="E15:E16"/>
  </mergeCells>
  <pageMargins left="0.25" right="0.25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L7" sqref="L7"/>
    </sheetView>
  </sheetViews>
  <sheetFormatPr defaultRowHeight="20.25" customHeight="1"/>
  <cols>
    <col min="1" max="1" width="3.7109375" style="2" customWidth="1"/>
    <col min="2" max="2" width="40.42578125" style="48" customWidth="1"/>
    <col min="3" max="3" width="8.85546875" style="263" customWidth="1"/>
    <col min="4" max="4" width="5.7109375" style="2" customWidth="1"/>
    <col min="5" max="5" width="10.7109375" style="242" customWidth="1"/>
    <col min="6" max="6" width="5.7109375" style="2" customWidth="1"/>
    <col min="7" max="7" width="16.42578125" style="267" customWidth="1"/>
    <col min="8" max="8" width="10.42578125" style="2" customWidth="1"/>
    <col min="9" max="16384" width="9.140625" style="2"/>
  </cols>
  <sheetData>
    <row r="1" spans="1:8" ht="20.25" customHeight="1">
      <c r="A1" s="302" t="s">
        <v>327</v>
      </c>
      <c r="B1" s="302"/>
      <c r="C1" s="302"/>
      <c r="D1" s="302"/>
      <c r="E1" s="302"/>
      <c r="F1" s="302"/>
      <c r="G1" s="302"/>
      <c r="H1" s="302"/>
    </row>
    <row r="2" spans="1:8" ht="20.25" customHeight="1">
      <c r="A2" s="302" t="s">
        <v>328</v>
      </c>
      <c r="B2" s="302"/>
      <c r="C2" s="302"/>
      <c r="D2" s="302"/>
      <c r="E2" s="302"/>
      <c r="F2" s="302"/>
      <c r="G2" s="302"/>
      <c r="H2" s="302"/>
    </row>
    <row r="3" spans="1:8" ht="23.25" customHeight="1" thickBot="1">
      <c r="A3" s="308" t="s">
        <v>142</v>
      </c>
      <c r="B3" s="308"/>
      <c r="C3" s="308"/>
      <c r="D3" s="308"/>
      <c r="E3" s="308"/>
      <c r="F3" s="308"/>
      <c r="G3" s="308"/>
      <c r="H3" s="308"/>
    </row>
    <row r="4" spans="1:8" ht="20.25" customHeight="1">
      <c r="A4" s="286" t="s">
        <v>6</v>
      </c>
      <c r="B4" s="291" t="s">
        <v>1</v>
      </c>
      <c r="C4" s="309" t="s">
        <v>79</v>
      </c>
      <c r="D4" s="291" t="s">
        <v>63</v>
      </c>
      <c r="E4" s="311" t="s">
        <v>311</v>
      </c>
      <c r="F4" s="291" t="s">
        <v>80</v>
      </c>
      <c r="G4" s="325" t="s">
        <v>312</v>
      </c>
      <c r="H4" s="277"/>
    </row>
    <row r="5" spans="1:8" ht="20.25" customHeight="1" thickBot="1">
      <c r="A5" s="287"/>
      <c r="B5" s="292"/>
      <c r="C5" s="310"/>
      <c r="D5" s="292"/>
      <c r="E5" s="312"/>
      <c r="F5" s="292"/>
      <c r="G5" s="326"/>
      <c r="H5" s="277"/>
    </row>
    <row r="6" spans="1:8" s="47" customFormat="1" ht="20.25" customHeight="1">
      <c r="A6" s="44"/>
      <c r="B6" s="76" t="s">
        <v>151</v>
      </c>
      <c r="C6" s="250"/>
      <c r="D6" s="45"/>
      <c r="E6" s="258"/>
      <c r="F6" s="45"/>
      <c r="G6" s="264"/>
      <c r="H6" s="46"/>
    </row>
    <row r="7" spans="1:8" ht="20.25" customHeight="1">
      <c r="A7" s="25">
        <v>1</v>
      </c>
      <c r="B7" s="26" t="s">
        <v>89</v>
      </c>
      <c r="C7" s="97">
        <f>'Builder''s Estimate'!C22+'Builder''s Estimate'!C30+'Builder''s Estimate'!C38+'Builder''s Estimate'!C48+'Builder''s Estimate'!C64+'Builder''s Estimate'!C72+'Builder''s Estimate'!C80</f>
        <v>466.95534786160704</v>
      </c>
      <c r="D7" s="25" t="s">
        <v>114</v>
      </c>
      <c r="E7" s="251">
        <f>'Builder''s Estimate'!E30</f>
        <v>5700</v>
      </c>
      <c r="F7" s="25" t="str">
        <f>'Bill of Quantity'!D7</f>
        <v>Bag</v>
      </c>
      <c r="G7" s="265">
        <f t="shared" ref="G7:G53" si="0">C7*E7</f>
        <v>2661645.4828111599</v>
      </c>
    </row>
    <row r="8" spans="1:8" ht="20.25" customHeight="1">
      <c r="A8" s="255">
        <v>2</v>
      </c>
      <c r="B8" s="26" t="s">
        <v>88</v>
      </c>
      <c r="C8" s="97">
        <f>'Builder''s Estimate'!C17+'Builder''s Estimate'!C24+'Builder''s Estimate'!C32+'Builder''s Estimate'!C40+'Builder''s Estimate'!C49+'Builder''s Estimate'!C59+'Builder''s Estimate'!C66+'Builder''s Estimate'!C74+'Builder''s Estimate'!C82</f>
        <v>37.568711675000003</v>
      </c>
      <c r="D8" s="25" t="s">
        <v>86</v>
      </c>
      <c r="E8" s="251">
        <f>'Builder''s Estimate'!E32</f>
        <v>85000</v>
      </c>
      <c r="F8" s="25" t="str">
        <f>'Bill of Quantity'!D8</f>
        <v>Sud</v>
      </c>
      <c r="G8" s="265">
        <f t="shared" si="0"/>
        <v>3193340.4923750004</v>
      </c>
    </row>
    <row r="9" spans="1:8" ht="20.25" customHeight="1">
      <c r="A9" s="255">
        <v>3</v>
      </c>
      <c r="B9" s="26" t="s">
        <v>92</v>
      </c>
      <c r="C9" s="97">
        <f>'Builder''s Estimate'!C23+'Builder''s Estimate'!C65+'Builder''s Estimate'!C73+'Builder''s Estimate'!C81</f>
        <v>18.164328750000003</v>
      </c>
      <c r="D9" s="25" t="s">
        <v>86</v>
      </c>
      <c r="E9" s="251">
        <f>'Builder''s Estimate'!E23</f>
        <v>90000</v>
      </c>
      <c r="F9" s="25" t="str">
        <f>'Bill of Quantity'!D9</f>
        <v>Sud</v>
      </c>
      <c r="G9" s="265">
        <f t="shared" si="0"/>
        <v>1634789.5875000001</v>
      </c>
    </row>
    <row r="10" spans="1:8" ht="20.25" customHeight="1">
      <c r="A10" s="255">
        <v>4</v>
      </c>
      <c r="B10" s="26" t="s">
        <v>127</v>
      </c>
      <c r="C10" s="97">
        <f>'Builder''s Estimate'!C31+'Builder''s Estimate'!C39</f>
        <v>21970.3812</v>
      </c>
      <c r="D10" s="25" t="s">
        <v>84</v>
      </c>
      <c r="E10" s="251">
        <f>'Builder''s Estimate'!E31</f>
        <v>100</v>
      </c>
      <c r="F10" s="25" t="str">
        <f>'Bill of Quantity'!D10</f>
        <v>No</v>
      </c>
      <c r="G10" s="265">
        <f t="shared" si="0"/>
        <v>2197038.12</v>
      </c>
    </row>
    <row r="11" spans="1:8" ht="20.25" customHeight="1">
      <c r="A11" s="255">
        <v>5</v>
      </c>
      <c r="B11" s="26" t="s">
        <v>87</v>
      </c>
      <c r="C11" s="97">
        <f>'Builder''s Estimate'!C16</f>
        <v>4.39453125</v>
      </c>
      <c r="D11" s="25" t="s">
        <v>86</v>
      </c>
      <c r="E11" s="251">
        <f>'Builder''s Estimate'!E16</f>
        <v>25000</v>
      </c>
      <c r="F11" s="25" t="str">
        <f>'Bill of Quantity'!D11</f>
        <v>Sud</v>
      </c>
      <c r="G11" s="265">
        <f t="shared" si="0"/>
        <v>109863.28125</v>
      </c>
    </row>
    <row r="12" spans="1:8" ht="20.25" customHeight="1">
      <c r="A12" s="255">
        <v>6</v>
      </c>
      <c r="B12" s="51" t="s">
        <v>329</v>
      </c>
      <c r="C12" s="97">
        <f>'Builder''s Estimate'!C44</f>
        <v>130</v>
      </c>
      <c r="D12" s="25" t="s">
        <v>84</v>
      </c>
      <c r="E12" s="251">
        <f>'Builder''s Estimate'!E44</f>
        <v>450</v>
      </c>
      <c r="F12" s="25" t="str">
        <f>'Bill of Quantity'!D12</f>
        <v>No</v>
      </c>
      <c r="G12" s="265">
        <f t="shared" si="0"/>
        <v>58500</v>
      </c>
    </row>
    <row r="13" spans="1:8" ht="20.25" customHeight="1">
      <c r="A13" s="255">
        <v>7</v>
      </c>
      <c r="B13" s="26" t="s">
        <v>96</v>
      </c>
      <c r="C13" s="97">
        <f>'Builder''s Estimate'!C43+'Builder''s Estimate'!C147</f>
        <v>2238.3790349999999</v>
      </c>
      <c r="D13" s="249" t="s">
        <v>56</v>
      </c>
      <c r="E13" s="251">
        <f>'Builder''s Estimate'!E43</f>
        <v>70</v>
      </c>
      <c r="F13" s="25" t="str">
        <f>'Bill of Quantity'!D13</f>
        <v>RFT</v>
      </c>
      <c r="G13" s="265">
        <f t="shared" si="0"/>
        <v>156686.53245</v>
      </c>
    </row>
    <row r="14" spans="1:8" ht="20.25" customHeight="1">
      <c r="A14" s="255">
        <v>8</v>
      </c>
      <c r="B14" s="26" t="s">
        <v>100</v>
      </c>
      <c r="C14" s="97">
        <f>'Builder''s Estimate'!C137+'Builder''s Estimate'!C167</f>
        <v>0.23586703452510918</v>
      </c>
      <c r="D14" s="25" t="s">
        <v>57</v>
      </c>
      <c r="E14" s="251">
        <f>'Builder''s Estimate'!E137</f>
        <v>2200000</v>
      </c>
      <c r="F14" s="25" t="str">
        <f>'Bill of Quantity'!D14</f>
        <v>Ton</v>
      </c>
      <c r="G14" s="265">
        <f t="shared" si="0"/>
        <v>518907.4759552402</v>
      </c>
    </row>
    <row r="15" spans="1:8" ht="20.25" customHeight="1">
      <c r="A15" s="255">
        <v>9</v>
      </c>
      <c r="B15" s="26" t="s">
        <v>129</v>
      </c>
      <c r="C15" s="97">
        <f>'Builder''s Estimate'!C128+'Builder''s Estimate'!C135+'Builder''s Estimate'!C136+'Builder''s Estimate'!C144+'Builder''s Estimate'!C152</f>
        <v>2.0419552674107142</v>
      </c>
      <c r="D15" s="25" t="s">
        <v>57</v>
      </c>
      <c r="E15" s="251">
        <f>'Builder''s Estimate'!E128</f>
        <v>1200000</v>
      </c>
      <c r="F15" s="25" t="str">
        <f>'Bill of Quantity'!D15</f>
        <v>Ton</v>
      </c>
      <c r="G15" s="265">
        <f t="shared" si="0"/>
        <v>2450346.3208928569</v>
      </c>
    </row>
    <row r="16" spans="1:8" ht="20.25" customHeight="1">
      <c r="A16" s="255">
        <v>10</v>
      </c>
      <c r="B16" s="26" t="s">
        <v>130</v>
      </c>
      <c r="C16" s="97">
        <f>'Builder''s Estimate'!C98</f>
        <v>2.823305</v>
      </c>
      <c r="D16" s="25" t="s">
        <v>57</v>
      </c>
      <c r="E16" s="251">
        <f>'Builder''s Estimate'!E98</f>
        <v>650000</v>
      </c>
      <c r="F16" s="25" t="str">
        <f>'Bill of Quantity'!D16</f>
        <v>Ton</v>
      </c>
      <c r="G16" s="265">
        <f t="shared" si="0"/>
        <v>1835148.25</v>
      </c>
    </row>
    <row r="17" spans="1:7" ht="20.25" customHeight="1">
      <c r="A17" s="255">
        <v>11</v>
      </c>
      <c r="B17" s="26" t="s">
        <v>131</v>
      </c>
      <c r="C17" s="97">
        <f>'Builder''s Estimate'!C99</f>
        <v>32.350369791666672</v>
      </c>
      <c r="D17" s="25" t="s">
        <v>109</v>
      </c>
      <c r="E17" s="251">
        <f>'Builder''s Estimate'!E99</f>
        <v>17600</v>
      </c>
      <c r="F17" s="25" t="str">
        <f>'Bill of Quantity'!D17</f>
        <v>Sheet</v>
      </c>
      <c r="G17" s="265">
        <f t="shared" si="0"/>
        <v>569366.50833333342</v>
      </c>
    </row>
    <row r="18" spans="1:7" ht="20.25" customHeight="1">
      <c r="A18" s="255">
        <v>12</v>
      </c>
      <c r="B18" s="26" t="s">
        <v>107</v>
      </c>
      <c r="C18" s="97">
        <f>'Builder''s Estimate'!C100+'Builder''s Estimate'!C129+'Builder''s Estimate'!C139+'Builder''s Estimate'!C145+'Builder''s Estimate'!C206</f>
        <v>33.327796794624483</v>
      </c>
      <c r="D18" s="25" t="s">
        <v>98</v>
      </c>
      <c r="E18" s="251">
        <f>'Builder''s Estimate'!E100</f>
        <v>2340</v>
      </c>
      <c r="F18" s="25" t="str">
        <f>'Bill of Quantity'!D18</f>
        <v>Viss</v>
      </c>
      <c r="G18" s="265">
        <f t="shared" si="0"/>
        <v>77987.044499421288</v>
      </c>
    </row>
    <row r="19" spans="1:7" ht="20.25" customHeight="1">
      <c r="A19" s="255">
        <v>13</v>
      </c>
      <c r="B19" s="51" t="s">
        <v>190</v>
      </c>
      <c r="C19" s="97">
        <f>'Builder''s Estimate'!C123+'Builder''s Estimate'!C116</f>
        <v>1273.4586562499999</v>
      </c>
      <c r="D19" s="25" t="s">
        <v>84</v>
      </c>
      <c r="E19" s="251">
        <f>'Builder''s Estimate'!E116</f>
        <v>60</v>
      </c>
      <c r="F19" s="25" t="str">
        <f>'Bill of Quantity'!D19</f>
        <v>No</v>
      </c>
      <c r="G19" s="265">
        <f t="shared" si="0"/>
        <v>76407.519374999989</v>
      </c>
    </row>
    <row r="20" spans="1:7" ht="20.25" customHeight="1">
      <c r="A20" s="255">
        <v>14</v>
      </c>
      <c r="B20" s="26" t="s">
        <v>132</v>
      </c>
      <c r="C20" s="97">
        <f>'Builder''s Estimate'!C106</f>
        <v>213.34950000000001</v>
      </c>
      <c r="D20" s="253" t="s">
        <v>56</v>
      </c>
      <c r="E20" s="251">
        <f>'Builder''s Estimate'!E106</f>
        <v>900</v>
      </c>
      <c r="F20" s="25" t="str">
        <f>'Bill of Quantity'!D20</f>
        <v>RFT</v>
      </c>
      <c r="G20" s="265">
        <f t="shared" si="0"/>
        <v>192014.55000000002</v>
      </c>
    </row>
    <row r="21" spans="1:7" ht="20.25" customHeight="1">
      <c r="A21" s="255">
        <v>15</v>
      </c>
      <c r="B21" s="26" t="s">
        <v>133</v>
      </c>
      <c r="C21" s="97">
        <f>'Builder''s Estimate'!C107</f>
        <v>524.75850000000003</v>
      </c>
      <c r="D21" s="253" t="s">
        <v>56</v>
      </c>
      <c r="E21" s="251">
        <f>'Builder''s Estimate'!E107</f>
        <v>870</v>
      </c>
      <c r="F21" s="25" t="str">
        <f>'Bill of Quantity'!D21</f>
        <v>RFT</v>
      </c>
      <c r="G21" s="265">
        <f t="shared" si="0"/>
        <v>456539.89500000002</v>
      </c>
    </row>
    <row r="22" spans="1:7" ht="20.25" customHeight="1">
      <c r="A22" s="255">
        <v>16</v>
      </c>
      <c r="B22" s="26" t="s">
        <v>134</v>
      </c>
      <c r="C22" s="97">
        <f>'Builder''s Estimate'!C108</f>
        <v>1325.835</v>
      </c>
      <c r="D22" s="25" t="s">
        <v>56</v>
      </c>
      <c r="E22" s="251">
        <f>'Builder''s Estimate'!E108</f>
        <v>460</v>
      </c>
      <c r="F22" s="25" t="str">
        <f>'Bill of Quantity'!D22</f>
        <v>RFT</v>
      </c>
      <c r="G22" s="265">
        <f t="shared" si="0"/>
        <v>609884.1</v>
      </c>
    </row>
    <row r="23" spans="1:7" ht="20.25" customHeight="1">
      <c r="A23" s="255">
        <v>17</v>
      </c>
      <c r="B23" s="51" t="s">
        <v>330</v>
      </c>
      <c r="C23" s="97">
        <f>'Builder''s Estimate'!C109</f>
        <v>238.245</v>
      </c>
      <c r="D23" s="253" t="s">
        <v>56</v>
      </c>
      <c r="E23" s="251">
        <f>'Builder''s Estimate'!E109</f>
        <v>350</v>
      </c>
      <c r="F23" s="25" t="str">
        <f>'Bill of Quantity'!D23</f>
        <v>RFT</v>
      </c>
      <c r="G23" s="265">
        <f t="shared" si="0"/>
        <v>83385.75</v>
      </c>
    </row>
    <row r="24" spans="1:7" ht="20.25" customHeight="1">
      <c r="A24" s="255">
        <v>18</v>
      </c>
      <c r="B24" s="51" t="s">
        <v>331</v>
      </c>
      <c r="C24" s="97">
        <f>'Builder''s Estimate'!C88</f>
        <v>3.8483353333986838</v>
      </c>
      <c r="D24" s="25" t="s">
        <v>57</v>
      </c>
      <c r="E24" s="251">
        <f>'Builder''s Estimate'!E88</f>
        <v>580000</v>
      </c>
      <c r="F24" s="25" t="str">
        <f>'Bill of Quantity'!D24</f>
        <v>Ton</v>
      </c>
      <c r="G24" s="265">
        <f t="shared" si="0"/>
        <v>2232034.4933712366</v>
      </c>
    </row>
    <row r="25" spans="1:7" ht="20.25" customHeight="1">
      <c r="A25" s="255">
        <v>19</v>
      </c>
      <c r="B25" s="51" t="s">
        <v>332</v>
      </c>
      <c r="C25" s="97">
        <f>'Builder''s Estimate'!C89</f>
        <v>0.23745664895934873</v>
      </c>
      <c r="D25" s="25" t="s">
        <v>57</v>
      </c>
      <c r="E25" s="251">
        <f>'Builder''s Estimate'!E89</f>
        <v>610000</v>
      </c>
      <c r="F25" s="25" t="str">
        <f>'Bill of Quantity'!D25</f>
        <v>Ton</v>
      </c>
      <c r="G25" s="265">
        <f t="shared" si="0"/>
        <v>144848.55586520274</v>
      </c>
    </row>
    <row r="26" spans="1:7" ht="20.25" customHeight="1">
      <c r="A26" s="255">
        <v>20</v>
      </c>
      <c r="B26" s="51" t="s">
        <v>333</v>
      </c>
      <c r="C26" s="97">
        <f>'Builder''s Estimate'!C90</f>
        <v>0.74804551079156589</v>
      </c>
      <c r="D26" s="25" t="s">
        <v>57</v>
      </c>
      <c r="E26" s="251">
        <f>'Builder''s Estimate'!E90</f>
        <v>610000</v>
      </c>
      <c r="F26" s="25" t="str">
        <f>'Bill of Quantity'!D26</f>
        <v>Ton</v>
      </c>
      <c r="G26" s="265">
        <f t="shared" si="0"/>
        <v>456307.76158285519</v>
      </c>
    </row>
    <row r="27" spans="1:7" s="47" customFormat="1" ht="20.25" customHeight="1">
      <c r="A27" s="255">
        <v>21</v>
      </c>
      <c r="B27" s="51" t="s">
        <v>334</v>
      </c>
      <c r="C27" s="97">
        <f>'Builder''s Estimate'!C91</f>
        <v>3.1187753310170874E-2</v>
      </c>
      <c r="D27" s="253" t="s">
        <v>57</v>
      </c>
      <c r="E27" s="251">
        <f>'Builder''s Estimate'!E91</f>
        <v>610000</v>
      </c>
      <c r="F27" s="253" t="str">
        <f>'Bill of Quantity'!D27</f>
        <v>Ton</v>
      </c>
      <c r="G27" s="265">
        <f t="shared" si="0"/>
        <v>19024.529519204232</v>
      </c>
    </row>
    <row r="28" spans="1:7" ht="20.25" customHeight="1">
      <c r="A28" s="255">
        <v>22</v>
      </c>
      <c r="B28" s="26" t="s">
        <v>97</v>
      </c>
      <c r="C28" s="97">
        <f>'Builder''s Estimate'!C92</f>
        <v>27.027918035887605</v>
      </c>
      <c r="D28" s="25" t="s">
        <v>98</v>
      </c>
      <c r="E28" s="251">
        <f>'Builder''s Estimate'!E92</f>
        <v>1620</v>
      </c>
      <c r="F28" s="25" t="str">
        <f>'Bill of Quantity'!D28</f>
        <v>Viss</v>
      </c>
      <c r="G28" s="265">
        <f t="shared" si="0"/>
        <v>43785.227218137923</v>
      </c>
    </row>
    <row r="29" spans="1:7" ht="20.25" customHeight="1">
      <c r="A29" s="255">
        <v>23</v>
      </c>
      <c r="B29" s="26" t="s">
        <v>66</v>
      </c>
      <c r="C29" s="97">
        <f>'Builder''s Estimate'!C115</f>
        <v>218.09855812499998</v>
      </c>
      <c r="D29" s="25" t="s">
        <v>56</v>
      </c>
      <c r="E29" s="251">
        <f>'Builder''s Estimate'!E115</f>
        <v>1080</v>
      </c>
      <c r="F29" s="25" t="str">
        <f>'Bill of Quantity'!D29</f>
        <v>RFT</v>
      </c>
      <c r="G29" s="265">
        <f t="shared" si="0"/>
        <v>235546.44277499997</v>
      </c>
    </row>
    <row r="30" spans="1:7" ht="20.25" customHeight="1">
      <c r="A30" s="255">
        <v>24</v>
      </c>
      <c r="B30" s="51" t="s">
        <v>352</v>
      </c>
      <c r="C30" s="97">
        <f>'Builder''s Estimate'!C122</f>
        <v>138.43199999999999</v>
      </c>
      <c r="D30" s="25" t="s">
        <v>56</v>
      </c>
      <c r="E30" s="251">
        <f>'Builder''s Estimate'!E122</f>
        <v>700</v>
      </c>
      <c r="F30" s="25" t="str">
        <f>'Bill of Quantity'!D30</f>
        <v>RFT</v>
      </c>
      <c r="G30" s="265">
        <f t="shared" si="0"/>
        <v>96902.399999999994</v>
      </c>
    </row>
    <row r="31" spans="1:7" ht="20.25" customHeight="1">
      <c r="A31" s="255">
        <v>25</v>
      </c>
      <c r="B31" s="26" t="s">
        <v>41</v>
      </c>
      <c r="C31" s="97">
        <f>'Builder''s Estimate'!C162</f>
        <v>429</v>
      </c>
      <c r="D31" s="25" t="s">
        <v>64</v>
      </c>
      <c r="E31" s="251">
        <f>'Builder''s Estimate'!E162</f>
        <v>3500</v>
      </c>
      <c r="F31" s="25" t="str">
        <f>'Bill of Quantity'!D31</f>
        <v>SFT</v>
      </c>
      <c r="G31" s="265">
        <f t="shared" si="0"/>
        <v>1501500</v>
      </c>
    </row>
    <row r="32" spans="1:7" ht="20.25" customHeight="1">
      <c r="A32" s="255">
        <v>26</v>
      </c>
      <c r="B32" s="51" t="s">
        <v>308</v>
      </c>
      <c r="C32" s="97">
        <f>'Builder''s Estimate'!C166</f>
        <v>22.5</v>
      </c>
      <c r="D32" s="25" t="s">
        <v>64</v>
      </c>
      <c r="E32" s="251">
        <f>'Builder''s Estimate'!E166</f>
        <v>1000</v>
      </c>
      <c r="F32" s="25" t="str">
        <f>'Bill of Quantity'!D32</f>
        <v>SFT</v>
      </c>
      <c r="G32" s="265">
        <f t="shared" si="0"/>
        <v>22500</v>
      </c>
    </row>
    <row r="33" spans="1:7" ht="20.25" customHeight="1">
      <c r="A33" s="255">
        <v>27</v>
      </c>
      <c r="B33" s="26" t="s">
        <v>123</v>
      </c>
      <c r="C33" s="97">
        <f>'Builder''s Estimate'!C175</f>
        <v>76.349542642592596</v>
      </c>
      <c r="D33" s="25" t="s">
        <v>124</v>
      </c>
      <c r="E33" s="251">
        <f>'Builder''s Estimate'!E172</f>
        <v>5500</v>
      </c>
      <c r="F33" s="25" t="str">
        <f>'Bill of Quantity'!D33</f>
        <v>Gal</v>
      </c>
      <c r="G33" s="265">
        <f t="shared" si="0"/>
        <v>419922.4845342593</v>
      </c>
    </row>
    <row r="34" spans="1:7" ht="20.25" customHeight="1">
      <c r="A34" s="255">
        <v>28</v>
      </c>
      <c r="B34" s="26" t="s">
        <v>135</v>
      </c>
      <c r="C34" s="97">
        <f>'Builder''s Estimate'!C182</f>
        <v>2.6595735981308413</v>
      </c>
      <c r="D34" s="25" t="s">
        <v>124</v>
      </c>
      <c r="E34" s="251">
        <f>'Builder''s Estimate'!E182</f>
        <v>16000</v>
      </c>
      <c r="F34" s="25" t="str">
        <f>'Bill of Quantity'!D34</f>
        <v>Gal</v>
      </c>
      <c r="G34" s="265">
        <f t="shared" si="0"/>
        <v>42553.17757009346</v>
      </c>
    </row>
    <row r="35" spans="1:7" ht="20.25" customHeight="1">
      <c r="A35" s="255">
        <v>29</v>
      </c>
      <c r="B35" s="26" t="s">
        <v>104</v>
      </c>
      <c r="C35" s="97">
        <f>'Builder''s Estimate'!C172+'Builder''s Estimate'!C183</f>
        <v>57.793539390048466</v>
      </c>
      <c r="D35" s="25" t="s">
        <v>124</v>
      </c>
      <c r="E35" s="251">
        <f>'Builder''s Estimate'!E172</f>
        <v>5500</v>
      </c>
      <c r="F35" s="25" t="str">
        <f>'Bill of Quantity'!D35</f>
        <v>Gal</v>
      </c>
      <c r="G35" s="265">
        <f t="shared" si="0"/>
        <v>317864.46664526657</v>
      </c>
    </row>
    <row r="36" spans="1:7" ht="20.25" customHeight="1">
      <c r="A36" s="255">
        <v>30</v>
      </c>
      <c r="B36" s="26" t="s">
        <v>125</v>
      </c>
      <c r="C36" s="97">
        <f>'Builder''s Estimate'!C176</f>
        <v>21.247553611111108</v>
      </c>
      <c r="D36" s="25" t="s">
        <v>84</v>
      </c>
      <c r="E36" s="251">
        <f>'Builder''s Estimate'!E176</f>
        <v>700</v>
      </c>
      <c r="F36" s="25" t="str">
        <f>'Bill of Quantity'!D36</f>
        <v>No</v>
      </c>
      <c r="G36" s="265">
        <f t="shared" si="0"/>
        <v>14873.287527777777</v>
      </c>
    </row>
    <row r="37" spans="1:7" ht="20.25" customHeight="1">
      <c r="A37" s="255">
        <v>31</v>
      </c>
      <c r="B37" s="51" t="s">
        <v>189</v>
      </c>
      <c r="C37" s="97">
        <f>'Builder''s Estimate'!C173</f>
        <v>453.28114370370378</v>
      </c>
      <c r="D37" s="253" t="s">
        <v>84</v>
      </c>
      <c r="E37" s="251">
        <f>'Builder''s Estimate'!E173</f>
        <v>200</v>
      </c>
      <c r="F37" s="25" t="str">
        <f>'Bill of Quantity'!D37</f>
        <v>No</v>
      </c>
      <c r="G37" s="265">
        <f t="shared" si="0"/>
        <v>90656.228740740757</v>
      </c>
    </row>
    <row r="38" spans="1:7" s="47" customFormat="1" ht="20.25" customHeight="1">
      <c r="A38" s="255">
        <v>32</v>
      </c>
      <c r="B38" s="51" t="str">
        <f>'Builder''s Estimate'!B174</f>
        <v>Putty Trowel</v>
      </c>
      <c r="C38" s="97">
        <f>'Builder''s Estimate'!C174</f>
        <v>21.247553611111108</v>
      </c>
      <c r="D38" s="253" t="s">
        <v>84</v>
      </c>
      <c r="E38" s="251">
        <v>800</v>
      </c>
      <c r="F38" s="253" t="str">
        <f>D38</f>
        <v>No</v>
      </c>
      <c r="G38" s="265">
        <f t="shared" si="0"/>
        <v>16998.042888888885</v>
      </c>
    </row>
    <row r="39" spans="1:7" s="47" customFormat="1" ht="20.25" customHeight="1">
      <c r="A39" s="255">
        <v>33</v>
      </c>
      <c r="B39" s="57" t="s">
        <v>313</v>
      </c>
      <c r="C39" s="97">
        <f>'Builder''s Estimate'!C134</f>
        <v>596.64480468750003</v>
      </c>
      <c r="D39" s="253" t="s">
        <v>84</v>
      </c>
      <c r="E39" s="251">
        <f>'Builder''s Estimate'!E134</f>
        <v>750</v>
      </c>
      <c r="F39" s="253" t="str">
        <f>'Bill of Quantity'!D39</f>
        <v>No</v>
      </c>
      <c r="G39" s="265">
        <f t="shared" si="0"/>
        <v>447483.603515625</v>
      </c>
    </row>
    <row r="40" spans="1:7" ht="20.25" customHeight="1">
      <c r="A40" s="255">
        <v>34</v>
      </c>
      <c r="B40" s="51" t="s">
        <v>119</v>
      </c>
      <c r="C40" s="97">
        <f>'Builder''s Estimate'!C154</f>
        <v>6</v>
      </c>
      <c r="D40" s="25" t="s">
        <v>84</v>
      </c>
      <c r="E40" s="251">
        <f>'Builder''s Estimate'!E154</f>
        <v>800</v>
      </c>
      <c r="F40" s="25" t="str">
        <f>'Bill of Quantity'!D40</f>
        <v>No</v>
      </c>
      <c r="G40" s="265">
        <f t="shared" si="0"/>
        <v>4800</v>
      </c>
    </row>
    <row r="41" spans="1:7" s="47" customFormat="1" ht="20.25" customHeight="1">
      <c r="A41" s="255">
        <v>35</v>
      </c>
      <c r="B41" s="51" t="s">
        <v>306</v>
      </c>
      <c r="C41" s="97">
        <v>3</v>
      </c>
      <c r="D41" s="253" t="s">
        <v>84</v>
      </c>
      <c r="E41" s="251">
        <f>'Builder''s Estimate'!E155</f>
        <v>800</v>
      </c>
      <c r="F41" s="253" t="str">
        <f>'Bill of Quantity'!D41</f>
        <v>No</v>
      </c>
      <c r="G41" s="265">
        <f t="shared" si="0"/>
        <v>2400</v>
      </c>
    </row>
    <row r="42" spans="1:7" ht="20.25" customHeight="1">
      <c r="A42" s="255">
        <v>36</v>
      </c>
      <c r="B42" s="51" t="s">
        <v>305</v>
      </c>
      <c r="C42" s="97">
        <f>'Builder''s Estimate'!C153</f>
        <v>24</v>
      </c>
      <c r="D42" s="25" t="s">
        <v>84</v>
      </c>
      <c r="E42" s="251">
        <f>'Builder''s Estimate'!E153</f>
        <v>900</v>
      </c>
      <c r="F42" s="25" t="str">
        <f>'Bill of Quantity'!D42</f>
        <v>No</v>
      </c>
      <c r="G42" s="265">
        <f t="shared" si="0"/>
        <v>21600</v>
      </c>
    </row>
    <row r="43" spans="1:7" ht="20.25" customHeight="1">
      <c r="A43" s="255">
        <v>37</v>
      </c>
      <c r="B43" s="51" t="s">
        <v>325</v>
      </c>
      <c r="C43" s="97">
        <f>'Builder''s Estimate'!C156</f>
        <v>12</v>
      </c>
      <c r="D43" s="25" t="s">
        <v>84</v>
      </c>
      <c r="E43" s="251">
        <f>'Builder''s Estimate'!E156</f>
        <v>800</v>
      </c>
      <c r="F43" s="25" t="str">
        <f>'Bill of Quantity'!D43</f>
        <v>No</v>
      </c>
      <c r="G43" s="265">
        <f t="shared" si="0"/>
        <v>9600</v>
      </c>
    </row>
    <row r="44" spans="1:7" ht="20.25" customHeight="1">
      <c r="A44" s="255">
        <v>38</v>
      </c>
      <c r="B44" s="51" t="s">
        <v>316</v>
      </c>
      <c r="C44" s="97">
        <f>'Builder''s Estimate'!C138+'Builder''s Estimate'!C157</f>
        <v>182.33484375</v>
      </c>
      <c r="D44" s="253" t="s">
        <v>126</v>
      </c>
      <c r="E44" s="251">
        <f>'Builder''s Estimate'!E157</f>
        <v>250</v>
      </c>
      <c r="F44" s="25" t="str">
        <f>'Bill of Quantity'!D44</f>
        <v>Doz</v>
      </c>
      <c r="G44" s="265">
        <f t="shared" si="0"/>
        <v>45583.7109375</v>
      </c>
    </row>
    <row r="45" spans="1:7" s="47" customFormat="1" ht="20.25" customHeight="1">
      <c r="A45" s="255">
        <v>39</v>
      </c>
      <c r="B45" s="51" t="s">
        <v>351</v>
      </c>
      <c r="C45" s="97">
        <f>'Builder''s Estimate'!C146</f>
        <v>18</v>
      </c>
      <c r="D45" s="255" t="s">
        <v>84</v>
      </c>
      <c r="E45" s="256">
        <f>'Builder''s Estimate'!E146</f>
        <v>1200</v>
      </c>
      <c r="F45" s="255" t="s">
        <v>84</v>
      </c>
      <c r="G45" s="265">
        <f>C45*E45</f>
        <v>21600</v>
      </c>
    </row>
    <row r="46" spans="1:7" s="47" customFormat="1" ht="20.25" customHeight="1">
      <c r="A46" s="255">
        <v>40</v>
      </c>
      <c r="B46" s="26" t="s">
        <v>48</v>
      </c>
      <c r="C46" s="97">
        <f>'Builder''s Estimate'!C189</f>
        <v>196.35</v>
      </c>
      <c r="D46" s="253" t="s">
        <v>56</v>
      </c>
      <c r="E46" s="251">
        <f>'Builder''s Estimate'!E189</f>
        <v>1300</v>
      </c>
      <c r="F46" s="253" t="str">
        <f>'Bill of Quantity'!D46</f>
        <v>RFT</v>
      </c>
      <c r="G46" s="265">
        <f t="shared" si="0"/>
        <v>255255</v>
      </c>
    </row>
    <row r="47" spans="1:7" s="47" customFormat="1" ht="20.25" customHeight="1">
      <c r="A47" s="255">
        <v>41</v>
      </c>
      <c r="B47" s="51" t="s">
        <v>112</v>
      </c>
      <c r="C47" s="97">
        <f>'Builder''s Estimate'!C190</f>
        <v>93.5</v>
      </c>
      <c r="D47" s="253" t="s">
        <v>84</v>
      </c>
      <c r="E47" s="251">
        <f>'Builder''s Estimate'!E190</f>
        <v>1020</v>
      </c>
      <c r="F47" s="253" t="str">
        <f>'Bill of Quantity'!D47</f>
        <v>No</v>
      </c>
      <c r="G47" s="265">
        <f t="shared" si="0"/>
        <v>95370</v>
      </c>
    </row>
    <row r="48" spans="1:7" s="47" customFormat="1" ht="20.25" customHeight="1">
      <c r="A48" s="255">
        <v>42</v>
      </c>
      <c r="B48" s="257" t="s">
        <v>137</v>
      </c>
      <c r="C48" s="97">
        <f>'Builder''s Estimate'!C196</f>
        <v>67</v>
      </c>
      <c r="D48" s="253" t="s">
        <v>56</v>
      </c>
      <c r="E48" s="251">
        <f>'Builder''s Estimate'!E196</f>
        <v>650</v>
      </c>
      <c r="F48" s="253" t="str">
        <f>'Bill of Quantity'!D48</f>
        <v>RFT</v>
      </c>
      <c r="G48" s="265">
        <f t="shared" si="0"/>
        <v>43550</v>
      </c>
    </row>
    <row r="49" spans="1:7" s="47" customFormat="1" ht="20.25" customHeight="1">
      <c r="A49" s="255">
        <v>43</v>
      </c>
      <c r="B49" s="57" t="s">
        <v>318</v>
      </c>
      <c r="C49" s="97">
        <f>'Builder''s Estimate'!C197</f>
        <v>16</v>
      </c>
      <c r="D49" s="253" t="s">
        <v>84</v>
      </c>
      <c r="E49" s="251">
        <f>'Builder''s Estimate'!E197</f>
        <v>700</v>
      </c>
      <c r="F49" s="253" t="str">
        <f>'Bill of Quantity'!D49</f>
        <v>No</v>
      </c>
      <c r="G49" s="265">
        <f t="shared" si="0"/>
        <v>11200</v>
      </c>
    </row>
    <row r="50" spans="1:7" s="47" customFormat="1" ht="20.25" customHeight="1">
      <c r="A50" s="255">
        <v>44</v>
      </c>
      <c r="B50" s="51" t="s">
        <v>335</v>
      </c>
      <c r="C50" s="97">
        <f>'Builder''s Estimate'!C198</f>
        <v>33.5</v>
      </c>
      <c r="D50" s="253" t="s">
        <v>84</v>
      </c>
      <c r="E50" s="251">
        <f>'Builder''s Estimate'!E198</f>
        <v>150</v>
      </c>
      <c r="F50" s="253" t="str">
        <f>'Bill of Quantity'!D50</f>
        <v>No</v>
      </c>
      <c r="G50" s="265">
        <f t="shared" si="0"/>
        <v>5025</v>
      </c>
    </row>
    <row r="51" spans="1:7" ht="20.25" customHeight="1">
      <c r="A51" s="255">
        <v>45</v>
      </c>
      <c r="B51" s="26" t="s">
        <v>111</v>
      </c>
      <c r="C51" s="97">
        <f>'Builder''s Estimate'!C204</f>
        <v>161.7777777777778</v>
      </c>
      <c r="D51" s="25" t="s">
        <v>84</v>
      </c>
      <c r="E51" s="251">
        <f>'Builder''s Estimate'!E204</f>
        <v>800</v>
      </c>
      <c r="F51" s="25" t="str">
        <f>'Bill of Quantity'!D51</f>
        <v>No</v>
      </c>
      <c r="G51" s="265">
        <f t="shared" si="0"/>
        <v>129422.22222222223</v>
      </c>
    </row>
    <row r="52" spans="1:7" ht="20.25" customHeight="1">
      <c r="A52" s="255">
        <v>46</v>
      </c>
      <c r="B52" s="51" t="s">
        <v>191</v>
      </c>
      <c r="C52" s="97">
        <f>'Builder''s Estimate'!C205</f>
        <v>11.769547325102881</v>
      </c>
      <c r="D52" s="25" t="s">
        <v>98</v>
      </c>
      <c r="E52" s="251">
        <f>'Builder''s Estimate'!E205</f>
        <v>2500</v>
      </c>
      <c r="F52" s="25" t="str">
        <f>'Bill of Quantity'!D52</f>
        <v>Viss</v>
      </c>
      <c r="G52" s="265">
        <f t="shared" si="0"/>
        <v>29423.8683127572</v>
      </c>
    </row>
    <row r="53" spans="1:7" ht="20.25" customHeight="1">
      <c r="A53" s="255">
        <v>47</v>
      </c>
      <c r="B53" s="26" t="s">
        <v>113</v>
      </c>
      <c r="C53" s="97">
        <f>'Builder''s Estimate'!C211</f>
        <v>2</v>
      </c>
      <c r="D53" s="25" t="s">
        <v>84</v>
      </c>
      <c r="E53" s="251">
        <f>'Builder''s Estimate'!E211</f>
        <v>95000</v>
      </c>
      <c r="F53" s="25" t="str">
        <f>'Bill of Quantity'!D53</f>
        <v>No</v>
      </c>
      <c r="G53" s="265">
        <f t="shared" si="0"/>
        <v>190000</v>
      </c>
    </row>
    <row r="54" spans="1:7" ht="20.25" customHeight="1" thickBot="1">
      <c r="A54" s="25"/>
      <c r="B54" s="2"/>
      <c r="C54" s="97"/>
      <c r="D54" s="25"/>
      <c r="E54" s="251"/>
      <c r="F54" s="25"/>
      <c r="G54" s="265"/>
    </row>
    <row r="55" spans="1:7" s="47" customFormat="1" ht="27.75" customHeight="1" thickBot="1">
      <c r="A55" s="25"/>
      <c r="B55" s="26"/>
      <c r="C55" s="330" t="s">
        <v>136</v>
      </c>
      <c r="D55" s="331"/>
      <c r="E55" s="331"/>
      <c r="F55" s="332"/>
      <c r="G55" s="268">
        <f>SUM(G7:G54)</f>
        <v>23849481.413668778</v>
      </c>
    </row>
    <row r="56" spans="1:7" s="47" customFormat="1" ht="20.25" customHeight="1">
      <c r="A56" s="25"/>
      <c r="B56" s="78" t="s">
        <v>152</v>
      </c>
      <c r="C56" s="261"/>
      <c r="D56" s="79"/>
      <c r="E56" s="259"/>
      <c r="F56" s="79"/>
      <c r="G56" s="265"/>
    </row>
    <row r="57" spans="1:7" ht="20.25" customHeight="1">
      <c r="A57" s="25">
        <v>1</v>
      </c>
      <c r="B57" s="51" t="s">
        <v>336</v>
      </c>
      <c r="C57" s="97">
        <f>'Builder''s Estimate'!C25+'Builder''s Estimate'!C33+'Builder''s Estimate'!C41+'Builder''s Estimate'!C50+'Builder''s Estimate'!C67+'Builder''s Estimate'!C75+'Builder''s Estimate'!C83</f>
        <v>166.21767349999999</v>
      </c>
      <c r="D57" s="25" t="s">
        <v>84</v>
      </c>
      <c r="E57" s="251">
        <v>6500</v>
      </c>
      <c r="F57" s="25" t="str">
        <f>'Bill of Quantity'!D57</f>
        <v>No</v>
      </c>
      <c r="G57" s="265">
        <f t="shared" ref="G57:G62" si="1">C57*E57</f>
        <v>1080414.87775</v>
      </c>
    </row>
    <row r="58" spans="1:7" ht="20.25" customHeight="1">
      <c r="A58" s="25">
        <v>2</v>
      </c>
      <c r="B58" s="51" t="s">
        <v>302</v>
      </c>
      <c r="C58" s="97">
        <f>'Builder''s Estimate'!C101+'Builder''s Estimate'!C124+'Builder''s Estimate'!C130+'Builder''s Estimate'!C140+'Builder''s Estimate'!C148+'Builder''s Estimate'!C158+'Builder''s Estimate'!C168+'Builder''s Estimate'!C191</f>
        <v>197.48651729530567</v>
      </c>
      <c r="D58" s="25" t="s">
        <v>84</v>
      </c>
      <c r="E58" s="251">
        <v>6500</v>
      </c>
      <c r="F58" s="25" t="str">
        <f>'Bill of Quantity'!D58</f>
        <v>No</v>
      </c>
      <c r="G58" s="265">
        <f t="shared" si="1"/>
        <v>1283662.362419487</v>
      </c>
    </row>
    <row r="59" spans="1:7" ht="20.25" customHeight="1">
      <c r="A59" s="25">
        <v>3</v>
      </c>
      <c r="B59" s="51" t="s">
        <v>105</v>
      </c>
      <c r="C59" s="97">
        <f>'Builder''s Estimate'!C177+'Builder''s Estimate'!C184</f>
        <v>82.650602824074085</v>
      </c>
      <c r="D59" s="25" t="s">
        <v>84</v>
      </c>
      <c r="E59" s="251">
        <v>6500</v>
      </c>
      <c r="F59" s="25" t="str">
        <f>'Bill of Quantity'!D59</f>
        <v>No</v>
      </c>
      <c r="G59" s="265">
        <f t="shared" si="1"/>
        <v>537228.91835648159</v>
      </c>
    </row>
    <row r="60" spans="1:7" ht="20.25" customHeight="1">
      <c r="A60" s="25">
        <v>4</v>
      </c>
      <c r="B60" s="51" t="s">
        <v>337</v>
      </c>
      <c r="C60" s="97">
        <f>'Builder''s Estimate'!C93+'Builder''s Estimate'!C110+'Builder''s Estimate'!C117</f>
        <v>177.50146461669539</v>
      </c>
      <c r="D60" s="25" t="s">
        <v>84</v>
      </c>
      <c r="E60" s="251">
        <v>6500</v>
      </c>
      <c r="F60" s="25" t="str">
        <f>'Bill of Quantity'!D60</f>
        <v>No</v>
      </c>
      <c r="G60" s="265">
        <f t="shared" si="1"/>
        <v>1153759.52000852</v>
      </c>
    </row>
    <row r="61" spans="1:7" s="47" customFormat="1" ht="20.25" customHeight="1">
      <c r="A61" s="253">
        <v>5</v>
      </c>
      <c r="B61" s="51" t="s">
        <v>338</v>
      </c>
      <c r="C61" s="97">
        <f>'Builder''s Estimate'!C199</f>
        <v>2.0099999999999998</v>
      </c>
      <c r="D61" s="253" t="s">
        <v>84</v>
      </c>
      <c r="E61" s="251">
        <v>6500</v>
      </c>
      <c r="F61" s="253" t="str">
        <f>'Bill of Quantity'!D61</f>
        <v>No</v>
      </c>
      <c r="G61" s="265">
        <f t="shared" si="1"/>
        <v>13064.999999999998</v>
      </c>
    </row>
    <row r="62" spans="1:7" ht="20.25" customHeight="1">
      <c r="A62" s="25">
        <v>6</v>
      </c>
      <c r="B62" s="51" t="s">
        <v>83</v>
      </c>
      <c r="C62" s="97">
        <f>'Builder''s Estimate'!C8+'Builder''s Estimate'!C12+'Builder''s Estimate'!C18+'Builder''s Estimate'!C26+'Builder''s Estimate'!C34+'Builder''s Estimate'!C42+'Builder''s Estimate'!C51+'Builder''s Estimate'!C55+'Builder''s Estimate'!C60+'Builder''s Estimate'!C68+'Builder''s Estimate'!C76+'Builder''s Estimate'!C84+'Builder''s Estimate'!C94+'Builder''s Estimate'!C102+'Builder''s Estimate'!C111+'Builder''s Estimate'!C118+'Builder''s Estimate'!C178+'Builder''s Estimate'!C185+'Builder''s Estimate'!C192+'Builder''s Estimate'!C200+'Builder''s Estimate'!C207</f>
        <v>864.22808971160293</v>
      </c>
      <c r="D62" s="253" t="s">
        <v>84</v>
      </c>
      <c r="E62" s="251">
        <v>5000</v>
      </c>
      <c r="F62" s="253" t="str">
        <f>'Bill of Quantity'!D62</f>
        <v>No</v>
      </c>
      <c r="G62" s="265">
        <f t="shared" si="1"/>
        <v>4321140.4485580148</v>
      </c>
    </row>
    <row r="63" spans="1:7" s="47" customFormat="1" ht="20.25" customHeight="1" thickBot="1">
      <c r="A63" s="253"/>
      <c r="B63" s="269"/>
      <c r="C63" s="270"/>
      <c r="D63" s="254"/>
      <c r="E63" s="252"/>
      <c r="F63" s="254"/>
      <c r="G63" s="265"/>
    </row>
    <row r="64" spans="1:7" ht="28.5" customHeight="1" thickBot="1">
      <c r="A64" s="25"/>
      <c r="C64" s="333" t="s">
        <v>138</v>
      </c>
      <c r="D64" s="334"/>
      <c r="E64" s="334"/>
      <c r="F64" s="335"/>
      <c r="G64" s="268">
        <f>SUM(G57:G62)</f>
        <v>8389271.127092503</v>
      </c>
    </row>
    <row r="65" spans="1:7" ht="20.25" customHeight="1" thickBot="1">
      <c r="A65" s="63"/>
      <c r="B65" s="77"/>
      <c r="C65" s="262"/>
      <c r="D65" s="72"/>
      <c r="E65" s="260"/>
      <c r="F65" s="72"/>
      <c r="G65" s="266"/>
    </row>
    <row r="66" spans="1:7" ht="20.25" customHeight="1" thickBot="1">
      <c r="A66" s="336" t="s">
        <v>141</v>
      </c>
      <c r="B66" s="336"/>
      <c r="C66" s="336"/>
      <c r="D66" s="336"/>
      <c r="E66" s="336"/>
      <c r="F66" s="336"/>
      <c r="G66" s="337">
        <f>G55+G64</f>
        <v>32238752.540761281</v>
      </c>
    </row>
    <row r="67" spans="1:7" ht="20.25" customHeight="1" thickBot="1">
      <c r="A67" s="336"/>
      <c r="B67" s="336"/>
      <c r="C67" s="336"/>
      <c r="D67" s="336"/>
      <c r="E67" s="336"/>
      <c r="F67" s="336"/>
      <c r="G67" s="337"/>
    </row>
  </sheetData>
  <sheetProtection password="868A" sheet="1" formatCells="0" formatColumns="0" formatRows="0" insertColumns="0" insertRows="0" insertHyperlinks="0" deleteColumns="0" deleteRows="0" sort="0" autoFilter="0" pivotTables="0"/>
  <mergeCells count="14">
    <mergeCell ref="C55:F55"/>
    <mergeCell ref="C64:F64"/>
    <mergeCell ref="A66:F67"/>
    <mergeCell ref="G66:G67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orientation="portrait" horizontalDpi="4294967293" verticalDpi="0" r:id="rId1"/>
  <ignoredErrors>
    <ignoredError sqref="E3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topLeftCell="A7" workbookViewId="0">
      <selection activeCell="C7" sqref="C7"/>
    </sheetView>
  </sheetViews>
  <sheetFormatPr defaultRowHeight="23.25" customHeight="1"/>
  <cols>
    <col min="1" max="1" width="5.28515625" style="47" customWidth="1"/>
    <col min="2" max="2" width="62.5703125" style="73" customWidth="1"/>
    <col min="3" max="3" width="26" style="281" customWidth="1"/>
    <col min="4" max="16384" width="9.140625" style="47"/>
  </cols>
  <sheetData>
    <row r="1" spans="1:3" ht="23.25" customHeight="1">
      <c r="A1" s="302" t="s">
        <v>353</v>
      </c>
      <c r="B1" s="302"/>
      <c r="C1" s="302"/>
    </row>
    <row r="2" spans="1:3" ht="23.25" customHeight="1">
      <c r="A2" s="302" t="s">
        <v>328</v>
      </c>
      <c r="B2" s="302"/>
      <c r="C2" s="302"/>
    </row>
    <row r="3" spans="1:3" ht="23.25" customHeight="1" thickBot="1">
      <c r="A3" s="308" t="s">
        <v>144</v>
      </c>
      <c r="B3" s="308"/>
      <c r="C3" s="308"/>
    </row>
    <row r="4" spans="1:3" ht="28.5" customHeight="1" thickBot="1">
      <c r="A4" s="282" t="s">
        <v>0</v>
      </c>
      <c r="B4" s="283" t="s">
        <v>1</v>
      </c>
      <c r="C4" s="278" t="s">
        <v>143</v>
      </c>
    </row>
    <row r="5" spans="1:3" ht="23.25" customHeight="1">
      <c r="A5" s="74"/>
      <c r="B5" s="75" t="s">
        <v>146</v>
      </c>
      <c r="C5" s="279"/>
    </row>
    <row r="6" spans="1:3" ht="23.25" customHeight="1">
      <c r="A6" s="25">
        <v>1</v>
      </c>
      <c r="B6" s="58" t="s">
        <v>136</v>
      </c>
      <c r="C6" s="280">
        <f>'Bill of Quantity'!G55</f>
        <v>23849481.413668778</v>
      </c>
    </row>
    <row r="7" spans="1:3" ht="23.25" customHeight="1">
      <c r="A7" s="25">
        <v>2</v>
      </c>
      <c r="B7" s="58" t="s">
        <v>138</v>
      </c>
      <c r="C7" s="280">
        <f>'Bill of Quantity'!G64</f>
        <v>8389271.127092503</v>
      </c>
    </row>
    <row r="8" spans="1:3" ht="23.25" customHeight="1">
      <c r="A8" s="25"/>
      <c r="B8" s="25"/>
      <c r="C8" s="280"/>
    </row>
    <row r="9" spans="1:3" ht="23.25" customHeight="1">
      <c r="A9" s="25"/>
      <c r="B9" s="75" t="s">
        <v>147</v>
      </c>
      <c r="C9" s="280"/>
    </row>
    <row r="10" spans="1:3" ht="23.25" customHeight="1">
      <c r="A10" s="25">
        <v>3</v>
      </c>
      <c r="B10" s="58" t="s">
        <v>145</v>
      </c>
      <c r="C10" s="280">
        <v>1500000</v>
      </c>
    </row>
    <row r="11" spans="1:3" ht="23.25" customHeight="1" thickBot="1">
      <c r="A11" s="25"/>
      <c r="B11" s="58"/>
      <c r="C11" s="280"/>
    </row>
    <row r="12" spans="1:3" ht="26.25" customHeight="1" thickBot="1">
      <c r="A12" s="339" t="s">
        <v>148</v>
      </c>
      <c r="B12" s="340"/>
      <c r="C12" s="278">
        <f>C6+C7+C10</f>
        <v>33738752.540761277</v>
      </c>
    </row>
    <row r="13" spans="1:3" ht="26.25" customHeight="1" thickBot="1">
      <c r="A13" s="339" t="s">
        <v>149</v>
      </c>
      <c r="B13" s="340"/>
      <c r="C13" s="278">
        <f>C12</f>
        <v>33738752.540761277</v>
      </c>
    </row>
    <row r="14" spans="1:3" ht="26.25" customHeight="1" thickBot="1">
      <c r="A14" s="339" t="s">
        <v>150</v>
      </c>
      <c r="B14" s="340"/>
      <c r="C14" s="278">
        <v>33730000</v>
      </c>
    </row>
    <row r="15" spans="1:3" ht="18" customHeight="1"/>
    <row r="16" spans="1:3" ht="23.25" customHeight="1">
      <c r="A16" s="338" t="s">
        <v>148</v>
      </c>
      <c r="B16" s="338"/>
      <c r="C16" s="284">
        <f>C12</f>
        <v>33738752.540761277</v>
      </c>
    </row>
    <row r="17" spans="1:3" ht="23.25" customHeight="1">
      <c r="A17" s="285"/>
      <c r="B17" s="285" t="s">
        <v>354</v>
      </c>
      <c r="C17" s="284">
        <f>C16*7/100</f>
        <v>2361712.6778532891</v>
      </c>
    </row>
    <row r="18" spans="1:3" ht="23.25" customHeight="1">
      <c r="A18" s="285"/>
      <c r="B18" s="285" t="s">
        <v>355</v>
      </c>
      <c r="C18" s="284">
        <f>C16*3/100</f>
        <v>1012162.5762228384</v>
      </c>
    </row>
    <row r="19" spans="1:3" ht="23.25" customHeight="1">
      <c r="A19" s="338" t="s">
        <v>149</v>
      </c>
      <c r="B19" s="338"/>
      <c r="C19" s="284">
        <f>C16+C17+C18</f>
        <v>37112627.7948374</v>
      </c>
    </row>
    <row r="20" spans="1:3" ht="23.25" customHeight="1">
      <c r="A20" s="338" t="s">
        <v>150</v>
      </c>
      <c r="B20" s="338"/>
      <c r="C20" s="284">
        <v>37110000</v>
      </c>
    </row>
  </sheetData>
  <sheetProtection password="868A" sheet="1" formatCells="0" formatColumns="0" formatRows="0" insertColumns="0" insertRows="0" insertHyperlinks="0" deleteColumns="0" deleteRows="0" sort="0" autoFilter="0" pivotTables="0"/>
  <mergeCells count="9">
    <mergeCell ref="A1:C1"/>
    <mergeCell ref="A2:C2"/>
    <mergeCell ref="A3:C3"/>
    <mergeCell ref="A16:B16"/>
    <mergeCell ref="A19:B19"/>
    <mergeCell ref="A20:B20"/>
    <mergeCell ref="A13:B13"/>
    <mergeCell ref="A12:B12"/>
    <mergeCell ref="A14:B14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Details of Measurement</vt:lpstr>
      <vt:lpstr>Builder's Estimate</vt:lpstr>
      <vt:lpstr>Abstract of Cost</vt:lpstr>
      <vt:lpstr>Bill of Quantity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 Civil</dc:creator>
  <cp:lastModifiedBy>Justn</cp:lastModifiedBy>
  <dcterms:created xsi:type="dcterms:W3CDTF">2017-01-16T04:54:56Z</dcterms:created>
  <dcterms:modified xsi:type="dcterms:W3CDTF">2017-03-27T15:50:28Z</dcterms:modified>
</cp:coreProperties>
</file>